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Journey log" sheetId="2" state="visible" r:id="rId4"/>
    <sheet name="Monthly summary" sheetId="3" state="visible" r:id="rId5"/>
    <sheet name="Year summary" sheetId="4" state="visible" r:id="rId6"/>
    <sheet name="Notes and sources" sheetId="5" state="visible" r:id="rId7"/>
    <sheet name="Example"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<sst xmlns="http://schemas.openxmlformats.org/spreadsheetml/2006/main" count="239" uniqueCount="170">
  <si>
    <t xml:space="preserve">Business Mileage Tracker 2026/27 and 2027/28</t>
  </si>
  <si>
    <t xml:space="preserve">By Jackson Lee Accountants, Chartered Certified Accountants. General guidance only, not advice for your circumstances. Free to use.</t>
  </si>
  <si>
    <t xml:space="preserve">Best used in Microsoft Excel. Yellow cells are for you to fill in; grey cells work themselves out.</t>
  </si>
  <si>
    <t xml:space="preserve">Your details</t>
  </si>
  <si>
    <t xml:space="preserve">Your name</t>
  </si>
  <si>
    <t xml:space="preserve">Company you claim from</t>
  </si>
  <si>
    <t xml:space="preserve">Tax year</t>
  </si>
  <si>
    <t xml:space="preserve">2026/27</t>
  </si>
  <si>
    <t xml:space="preserve">Choose from the list: the right rates are picked up automatically.</t>
  </si>
  <si>
    <t xml:space="preserve">Tax year runs from</t>
  </si>
  <si>
    <t xml:space="preserve">Tax year runs to</t>
  </si>
  <si>
    <t xml:space="preserve">Rate column used (helper)</t>
  </si>
  <si>
    <t xml:space="preserve">Your vehicles</t>
  </si>
  <si>
    <t xml:space="preserve">Name each vehicle you use for work (for example "Ford Focus AB12 CDE") and choose its type.</t>
  </si>
  <si>
    <t xml:space="preserve">Vehicle name</t>
  </si>
  <si>
    <t xml:space="preserve">Type</t>
  </si>
  <si>
    <t xml:space="preserve">Up to five vehicles. The 10,000-mile threshold counts all cars and vans together.</t>
  </si>
  <si>
    <t xml:space="preserve">How to use it</t>
  </si>
  <si>
    <t xml:space="preserve">1. Fill in your details and vehicles above, and choose the tax year.</t>
  </si>
  <si>
    <t xml:space="preserve">2. On "Journey log", add one row per business journey: date, vehicle, where from and to, why, business miles and any colleagues carried.</t>
  </si>
  <si>
    <t xml:space="preserve">3. Enter what the company actually paid you for each journey (or the total in one row, if it pays monthly).</t>
  </si>
  <si>
    <t xml:space="preserve">4. "Monthly summary" gives the miles and amounts by month, ready to attach to an expenses claim.</t>
  </si>
  <si>
    <t xml:space="preserve">5. "Year summary" compares what the company paid with HMRC's approved amount for the year.</t>
  </si>
  <si>
    <t xml:space="preserve">See the "Example" sheet for six filled-in journeys. Start a new copy of the tracker for each tax year.</t>
  </si>
  <si>
    <t xml:space="preserve">Who it's for</t>
  </si>
  <si>
    <t xml:space="preserve">Company directors and employees who use their own car, van, motorcycle or bicycle for business journeys and claim mileage from their company. Sole traders should use the mileage log in our Sole Trader MTD Kit instead.</t>
  </si>
  <si>
    <t xml:space="preserve">What counts as a business journey</t>
  </si>
  <si>
    <t xml:space="preserve">Travel you make for your work, such as visiting a client or supplier, going to a temporary workplace, or travelling between sites. Ordinary commuting between home and your permanent workplace does not count, and nor do private trips.</t>
  </si>
  <si>
    <t xml:space="preserve">Keeping records for HMRC</t>
  </si>
  <si>
    <t xml:space="preserve">Keep a record of each business journey as you go: the date, where you went and why, and the business miles. HMRC can ask to see it, so keep this tracker safely and give a copy to your company with each claim. See "What HMRC expects" on the Journey log.</t>
  </si>
  <si>
    <t xml:space="preserve">Data checks</t>
  </si>
  <si>
    <t xml:space="preserve">Rows with miles but no date</t>
  </si>
  <si>
    <t xml:space="preserve">Rows dated outside the tax year you chose (left out of the monthly summary)</t>
  </si>
  <si>
    <t xml:space="preserve">Rows with miles but no vehicle, or a vehicle not on your list above</t>
  </si>
  <si>
    <t xml:space="preserve">Miles or amounts typed as text, not numbers (these drop out of the totals: retype them as plain numbers)</t>
  </si>
  <si>
    <t xml:space="preserve">Passengers entered on a motorcycle or bicycle journey (passenger payments only apply to cars and vans)</t>
  </si>
  <si>
    <t xml:space="preserve">Important</t>
  </si>
  <si>
    <t xml:space="preserve">This tracker is for employees and directors claiming from their company. Sole traders use simplified mileage instead: see our Sole Trader MTD Kit.</t>
  </si>
  <si>
    <t xml:space="preserve">The 10,000-mile limit for the higher rate counts all the cars and vans you use for one employment together, not each vehicle separately.</t>
  </si>
  <si>
    <t xml:space="preserve">If your company pays less than the approved amount, you can claim Mileage Allowance Relief on the difference. If it pays more, the excess is taxable pay and must be reported.</t>
  </si>
  <si>
    <t xml:space="preserve">Company cars are different: these rates are for your own vehicle. For company cars, HMRC publishes separate advisory fuel rates.</t>
  </si>
  <si>
    <t xml:space="preserve">Version 2026.28-v1.0. Figures checked against GOV.UK on 5 November 2026, after the Budget. Rates are on the "Notes and sources" tab with their GOV.UK sources. General guidance, not personal tax advice. Check jacksonleeaccountants.co.uk for updates.</t>
  </si>
  <si>
    <t xml:space="preserve">Need help with director's pay and expenses?</t>
  </si>
  <si>
    <t xml:space="preserve">Need help with director's pay and expenses? Book a free 30-minute consultation at jacksonleeaccountants.co.uk/book, or get a fee estimate in 2 minutes at jacksonleeaccountants.co.uk/fee-estimate. Any work we do is for a fixed fee agreed up front.</t>
  </si>
  <si>
    <t xml:space="preserve">Book a free 30-minute consultation</t>
  </si>
  <si>
    <t xml:space="preserve">Get a fee estimate in 2 minutes</t>
  </si>
  <si>
    <t xml:space="preserve">Call 0161 327 0047</t>
  </si>
  <si>
    <t xml:space="preserve">Also available: Pay Yourself Properly – The Director's Handbook 2027/28, on Amazon.</t>
  </si>
  <si>
    <t xml:space="preserve">Jackson Lee Accountants Ltd, Chartered Certified Accountants · 10 St Mary's Place, Bury BL9 0DZ · 0161 327 0047 · jacksonleeaccountants.co.uk</t>
  </si>
  <si>
    <t xml:space="preserve">Journey log</t>
  </si>
  <si>
    <t xml:space="preserve">One row per business journey. Yellow cells only; grey cells work themselves out.</t>
  </si>
  <si>
    <t xml:space="preserve">Date</t>
  </si>
  <si>
    <t xml:space="preserve">Vehicle</t>
  </si>
  <si>
    <t xml:space="preserve">From (place or postcode)</t>
  </si>
  <si>
    <t xml:space="preserve">To (place or postcode)</t>
  </si>
  <si>
    <t xml:space="preserve">Purpose of journey</t>
  </si>
  <si>
    <t xml:space="preserve">Business miles</t>
  </si>
  <si>
    <t xml:space="preserve">Passengers carried</t>
  </si>
  <si>
    <t xml:space="preserve">Vehicle type</t>
  </si>
  <si>
    <t xml:space="preserve">Car/van miles so far this year</t>
  </si>
  <si>
    <t xml:space="preserve">Rate applied</t>
  </si>
  <si>
    <t xml:space="preserve">Amount due</t>
  </si>
  <si>
    <t xml:space="preserve">Amount company paid</t>
  </si>
  <si>
    <t xml:space="preserve">helper: miles at higher rate</t>
  </si>
  <si>
    <t xml:space="preserve">helper: miles at lower rate</t>
  </si>
  <si>
    <t xml:space="preserve">helper: month</t>
  </si>
  <si>
    <t xml:space="preserve">What HMRC expects</t>
  </si>
  <si>
    <t xml:space="preserve">Keep the log as you go</t>
  </si>
  <si>
    <t xml:space="preserve">Record each journey at the time. Your company needs a record to pay mileage tax-free, and HMRC can ask to see it if you claim relief. A log rebuilt from memory later is hard to rely on.</t>
  </si>
  <si>
    <t xml:space="preserve">Business journeys only</t>
  </si>
  <si>
    <t xml:space="preserve">Travel to a temporary workplace, to see a client or supplier, or between work sites counts. Ordinary commuting to your permanent workplace, and private trips, do not.</t>
  </si>
  <si>
    <t xml:space="preserve">HMRC 490: employee travel guide</t>
  </si>
  <si>
    <t xml:space="preserve">Record the detail</t>
  </si>
  <si>
    <t xml:space="preserve">Date, where from and to, why, and the business miles. Note the client or job so each trip can be matched to your diary or invoices.</t>
  </si>
  <si>
    <t xml:space="preserve">Paid less than the approved amount?</t>
  </si>
  <si>
    <t xml:space="preserve">You can claim Mileage Allowance Relief on the difference: see the Year summary.</t>
  </si>
  <si>
    <t xml:space="preserve">GOV.UK: claim tax relief for vehicles you use for work</t>
  </si>
  <si>
    <t xml:space="preserve">Paid more?</t>
  </si>
  <si>
    <t xml:space="preserve">The excess is taxable pay. Your company must report it, and you should tell your accountant.</t>
  </si>
  <si>
    <t xml:space="preserve">GOV.UK: business travel mileage rules</t>
  </si>
  <si>
    <t xml:space="preserve">Totals</t>
  </si>
  <si>
    <t xml:space="preserve">Monthly summary</t>
  </si>
  <si>
    <t xml:space="preserve">Miles and amounts by month, ready to attach to an expenses claim. Everything here works itself out.</t>
  </si>
  <si>
    <t xml:space="preserve">Month</t>
  </si>
  <si>
    <t xml:space="preserve">Journeys</t>
  </si>
  <si>
    <t xml:space="preserve">Car/van miles</t>
  </si>
  <si>
    <t xml:space="preserve">Company paid</t>
  </si>
  <si>
    <t xml:space="preserve">Difference</t>
  </si>
  <si>
    <t xml:space="preserve">Total</t>
  </si>
  <si>
    <t xml:space="preserve">Amount due is HMRC's approved amount, including passenger payments. A negative difference means the company paid less than the approved amount.</t>
  </si>
  <si>
    <t xml:space="preserve">Year summary</t>
  </si>
  <si>
    <t xml:space="preserve">Compares what the company paid you with HMRC's approved amount for the tax year.</t>
  </si>
  <si>
    <t xml:space="preserve">Total business miles</t>
  </si>
  <si>
    <t xml:space="preserve">Car and van miles</t>
  </si>
  <si>
    <t xml:space="preserve">The 10,000-mile threshold counts all cars and vans together.</t>
  </si>
  <si>
    <t xml:space="preserve">Car and van miles at the higher rate</t>
  </si>
  <si>
    <t xml:space="preserve">Car and van miles at the lower rate</t>
  </si>
  <si>
    <t xml:space="preserve">Miles over 10,000 in the tax year.</t>
  </si>
  <si>
    <t xml:space="preserve">Approved amount for your vehicles</t>
  </si>
  <si>
    <t xml:space="preserve">The most the company can pay you tax-free for the vehicles.</t>
  </si>
  <si>
    <t xml:space="preserve">Approved passenger payments</t>
  </si>
  <si>
    <t xml:space="preserve">Tax-free if paid; no relief if the company does not pay them.</t>
  </si>
  <si>
    <t xml:space="preserve">Total approved amount</t>
  </si>
  <si>
    <t xml:space="preserve">Amount the company actually paid</t>
  </si>
  <si>
    <t xml:space="preserve">From the "Amount company paid" column on the journey log.</t>
  </si>
  <si>
    <t xml:space="preserve">Difference (paid minus approved)</t>
  </si>
  <si>
    <t xml:space="preserve">What it means for you</t>
  </si>
  <si>
    <t xml:space="preserve">Paid LESS than approved: Mileage Allowance Relief you may claim from HMRC</t>
  </si>
  <si>
    <t xml:space="preserve">Claim tax relief on this shortfall through your tax return, or online at GOV.UK if you do not complete one. It does not cover passenger payments.</t>
  </si>
  <si>
    <t xml:space="preserve">Paid MORE than approved: excess that is taxable and reportable</t>
  </si>
  <si>
    <t xml:space="preserve">The company must report this to HMRC and it is taxed as pay. Tell your accountant.</t>
  </si>
  <si>
    <t xml:space="preserve">National Insurance: payments above this amount are liable to Class 1 NI</t>
  </si>
  <si>
    <t xml:space="preserve">For National Insurance the first-10,000-miles rate applies to every car and van mile, so the NI-free amount can be higher than the tax-free amount.</t>
  </si>
  <si>
    <t xml:space="preserve">This is general information to help you check your claim, not advice. If anything here is unexpected, talk to us or your accountant.</t>
  </si>
  <si>
    <t xml:space="preserve">Notes and sources: rates used in this workbook</t>
  </si>
  <si>
    <t xml:space="preserve">Version 2026.28-v1.0. Figures checked against GOV.UK on 5 November 2026, after the Budget on 28 October 2026. Check jacksonleeaccountants.co.uk for updates.</t>
  </si>
  <si>
    <t xml:space="preserve">Item</t>
  </si>
  <si>
    <t xml:space="preserve">2027/28</t>
  </si>
  <si>
    <t xml:space="preserve">Source (GOV.UK)</t>
  </si>
  <si>
    <t xml:space="preserve">Last checked</t>
  </si>
  <si>
    <t xml:space="preserve">Status</t>
  </si>
  <si>
    <t xml:space="preserve">Car or van: first 10,000 business miles (pence per mile)</t>
  </si>
  <si>
    <t xml:space="preserve">https://www.gov.uk/government/publications/rates-and-allowances-travel-mileage-and-fuel-allowances/travel-mileage-and-fuel-rates-and-allowances</t>
  </si>
  <si>
    <t xml:space="preserve">5 November 2026</t>
  </si>
  <si>
    <t xml:space="preserve">In force from 6 April 2026: Taxation (Energy and Vehicles) Act 2026, section 2 (https://www.legislation.gov.uk/ukpga/2026/26). Confirmed on GOV.UK.</t>
  </si>
  <si>
    <t xml:space="preserve">Car or van: each mile over 10,000</t>
  </si>
  <si>
    <t xml:space="preserve">https://www.gov.uk/government/publications/budget-2026-overview-of-tax-legislation-and-rates-ootlar/budget-2026-overview-of-tax-legislation-and-rates-ootlar</t>
  </si>
  <si>
    <t xml:space="preserve">25p confirmed on GOV.UK for 2026/27. 35p from 6 April 2027 announced at the Budget (overview of tax legislation and rates), to be made by statutory instrument: not yet law.</t>
  </si>
  <si>
    <t xml:space="preserve">Motorcycle: every business mile</t>
  </si>
  <si>
    <t xml:space="preserve">Confirmed on GOV.UK; no change announced for 2027/28.</t>
  </si>
  <si>
    <t xml:space="preserve">Bicycle: every business mile</t>
  </si>
  <si>
    <t xml:space="preserve">Passenger payment: per fellow employee carried, per mile</t>
  </si>
  <si>
    <t xml:space="preserve">https://www.gov.uk/expenses-and-benefits-business-travel-mileage</t>
  </si>
  <si>
    <t xml:space="preserve">Confirmed on GOV.UK. Tax-free and no National Insurance if paid; no relief if not paid.</t>
  </si>
  <si>
    <t xml:space="preserve">Car or van: National Insurance-free rate, every business mile</t>
  </si>
  <si>
    <t xml:space="preserve">https://www.gov.uk/guidance/national-insurance-contributions-and-employee-travel-expenses-490-chapter-6</t>
  </si>
  <si>
    <t xml:space="preserve">For National Insurance the first-10,000-miles rate applies to every business mile (HMRC 490, chapter 6).</t>
  </si>
  <si>
    <t xml:space="preserve">Car and van miles at the higher rate each tax year</t>
  </si>
  <si>
    <t xml:space="preserve">Per tax year, per employment, counting all cars and vans used for that employment together.</t>
  </si>
  <si>
    <t xml:space="preserve">More HMRC guidance</t>
  </si>
  <si>
    <t xml:space="preserve">Expenses and benefits: business travel mileage for employees' own vehicles</t>
  </si>
  <si>
    <t xml:space="preserve">Claim tax relief for your job expenses: vehicles you use for work (Mileage Allowance Relief)</t>
  </si>
  <si>
    <t xml:space="preserve">HMRC Employment Income Manual EIM31330: Mileage Allowance Relief outline</t>
  </si>
  <si>
    <t xml:space="preserve">HMRC 490: employee travel, a tax and National Insurance guide for employers</t>
  </si>
  <si>
    <t xml:space="preserve">Travel: mileage and fuel rates and allowances</t>
  </si>
  <si>
    <t xml:space="preserve">Taxation (Energy and Vehicles) Act 2026 (55p rate from 2026/27)</t>
  </si>
  <si>
    <t xml:space="preserve">Budget 2026: overview of tax legislation and rates (35p from April 2027)</t>
  </si>
  <si>
    <t xml:space="preserve">Date checked: 5 November 2026. Check jacksonleeaccountants.co.uk for updates.</t>
  </si>
  <si>
    <t xml:space="preserve">General guidance only, not advice for your circumstances. Talk to us or your own accountant before acting.</t>
  </si>
  <si>
    <t xml:space="preserve">Version 2026.28-v1.0</t>
  </si>
  <si>
    <t xml:space="preserve">Example journey log</t>
  </si>
  <si>
    <t xml:space="preserve">A filled-in example with six journeys. Change the yellow cells to see how it works; your real log is on "Journey log".</t>
  </si>
  <si>
    <t xml:space="preserve">Example tax year:</t>
  </si>
  <si>
    <t xml:space="preserve">Car or van</t>
  </si>
  <si>
    <t xml:space="preserve">Bury BL9</t>
  </si>
  <si>
    <t xml:space="preserve">Manchester M1</t>
  </si>
  <si>
    <t xml:space="preserve">Client meeting – annual review</t>
  </si>
  <si>
    <t xml:space="preserve">Leeds LS1</t>
  </si>
  <si>
    <t xml:space="preserve">Supplier visit</t>
  </si>
  <si>
    <t xml:space="preserve">Office, Bury</t>
  </si>
  <si>
    <t xml:space="preserve">Preston PR1</t>
  </si>
  <si>
    <t xml:space="preserve">Site visit – new warehouse</t>
  </si>
  <si>
    <t xml:space="preserve">Bicycle</t>
  </si>
  <si>
    <t xml:space="preserve">Bank, Bury town centre</t>
  </si>
  <si>
    <t xml:space="preserve">Bank deposit and post</t>
  </si>
  <si>
    <t xml:space="preserve">Birmingham B1</t>
  </si>
  <si>
    <t xml:space="preserve">Trade show</t>
  </si>
  <si>
    <t xml:space="preserve">Motorcycle</t>
  </si>
  <si>
    <t xml:space="preserve">Bolton BL1</t>
  </si>
  <si>
    <t xml:space="preserve">Client meeting</t>
  </si>
</sst>
</file>

<file path=xl/styles.xml><?xml version="1.0" encoding="utf-8"?>
<styleSheet xmlns="http://schemas.openxmlformats.org/spreadsheetml/2006/main">
  <numFmts count="14">
    <numFmt numFmtId="164" formatCode="General"/>
    <numFmt numFmtId="165" formatCode="d\ mmmm\ yyyy"/>
    <numFmt numFmtId="166" formatCode="0"/>
    <numFmt numFmtId="167" formatCode="dd/mm/yyyy"/>
    <numFmt numFmtId="168" formatCode="#,##0.0;\-#,##0.0;;"/>
    <numFmt numFmtId="169" formatCode="0;\-0;;"/>
    <numFmt numFmtId="170" formatCode="#,##0;\-#,##0;\-"/>
    <numFmt numFmtId="171" formatCode="\£#,##0.00;&quot;-£&quot;#,##0.00;\-"/>
    <numFmt numFmtId="172" formatCode="\£#,##0.00;&quot;-£&quot;#,##0.00;;"/>
    <numFmt numFmtId="173" formatCode="#,##0.0"/>
    <numFmt numFmtId="174" formatCode="0;\-0;\-"/>
    <numFmt numFmtId="175" formatCode="#,##0.0;\-#,##0.0;\-"/>
    <numFmt numFmtId="176" formatCode="\£0.00"/>
    <numFmt numFmtId="177" formatCode="#,##0"/>
  </numFmts>
  <fonts count="16">
    <font>
      <sz val="11"/>
      <color theme="1"/>
      <name val="Calibri"/>
      <family val="2"/>
      <charset val="1"/>
    </font>
    <font>
      <sz val="10"/>
      <name val="Arial"/>
      <family val="0"/>
    </font>
    <font>
      <sz val="10"/>
      <name val="Arial"/>
      <family val="0"/>
    </font>
    <font>
      <sz val="10"/>
      <name val="Arial"/>
      <family val="0"/>
    </font>
    <font>
      <b val="true"/>
      <sz val="16"/>
      <color rgb="FF1F2350"/>
      <name val="Arial"/>
      <family val="0"/>
      <charset val="1"/>
    </font>
    <font>
      <sz val="9"/>
      <color rgb="FF555555"/>
      <name val="Arial"/>
      <family val="0"/>
      <charset val="1"/>
    </font>
    <font>
      <b val="true"/>
      <sz val="9"/>
      <color rgb="FFB8501F"/>
      <name val="Arial"/>
      <family val="0"/>
      <charset val="1"/>
    </font>
    <font>
      <b val="true"/>
      <sz val="11"/>
      <color rgb="FF1F2350"/>
      <name val="Arial"/>
      <family val="0"/>
      <charset val="1"/>
    </font>
    <font>
      <sz val="10"/>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b val="true"/>
      <sz val="10"/>
      <color rgb="FF1F2350"/>
      <name val="Arial"/>
      <family val="0"/>
      <charset val="1"/>
    </font>
    <font>
      <b val="true"/>
      <u val="single"/>
      <sz val="10"/>
      <color rgb="FF1F2350"/>
      <name val="Arial"/>
      <family val="0"/>
      <charset val="1"/>
    </font>
    <font>
      <u val="single"/>
      <sz val="9"/>
      <color rgb="FF0563C1"/>
      <name val="Arial"/>
      <family val="0"/>
      <charset val="1"/>
    </font>
    <font>
      <u val="single"/>
      <sz val="10"/>
      <color rgb="FF0563C1"/>
      <name val="Arial"/>
      <family val="0"/>
      <charset val="1"/>
    </font>
  </fonts>
  <fills count="6">
    <fill>
      <patternFill patternType="none"/>
    </fill>
    <fill>
      <patternFill patternType="gray125"/>
    </fill>
    <fill>
      <patternFill patternType="solid">
        <fgColor rgb="FFFFF2B3"/>
        <bgColor rgb="FFFDEEE6"/>
      </patternFill>
    </fill>
    <fill>
      <patternFill patternType="solid">
        <fgColor rgb="FFEEF0F7"/>
        <bgColor rgb="FFFDEEE6"/>
      </patternFill>
    </fill>
    <fill>
      <patternFill patternType="solid">
        <fgColor rgb="FF1F2350"/>
        <bgColor rgb="FF003366"/>
      </patternFill>
    </fill>
    <fill>
      <patternFill patternType="solid">
        <fgColor rgb="FFFDEEE6"/>
        <bgColor rgb="FFEEF0F7"/>
      </patternFill>
    </fill>
  </fills>
  <borders count="2">
    <border diagonalUp="false" diagonalDown="false">
      <left/>
      <right/>
      <top/>
      <bottom/>
      <diagonal/>
    </border>
    <border diagonalUp="false" diagonalDown="false">
      <left style="thin">
        <color rgb="FFD9DCE8"/>
      </left>
      <right style="thin">
        <color rgb="FFD9DCE8"/>
      </right>
      <top style="thin">
        <color rgb="FFD9DCE8"/>
      </top>
      <bottom style="thin">
        <color rgb="FFD9DC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true">
      <alignment horizontal="general" vertical="bottom" textRotation="0" wrapText="false" indent="0" shrinkToFit="false"/>
      <protection locked="fals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5"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true">
      <alignment horizontal="general" vertical="bottom" textRotation="0" wrapText="false" indent="0" shrinkToFit="false"/>
      <protection locked="false" hidden="false"/>
    </xf>
    <xf numFmtId="168" fontId="9" fillId="2" borderId="1" xfId="0" applyFont="true" applyBorder="true" applyAlignment="false" applyProtection="true">
      <alignment horizontal="general" vertical="bottom" textRotation="0" wrapText="false" indent="0" shrinkToFit="false"/>
      <protection locked="false" hidden="false"/>
    </xf>
    <xf numFmtId="169" fontId="9" fillId="2" borderId="1" xfId="0" applyFont="true" applyBorder="true" applyAlignment="false" applyProtection="true">
      <alignment horizontal="general" vertical="bottom" textRotation="0" wrapText="false" indent="0" shrinkToFit="false"/>
      <protection locked="fals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9" fillId="2" borderId="1" xfId="0" applyFont="true" applyBorder="true" applyAlignment="false" applyProtection="true">
      <alignment horizontal="general" vertical="bottom" textRotation="0" wrapText="false" indent="0" shrinkToFit="false"/>
      <protection locked="fals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3" fontId="11" fillId="3" borderId="1" xfId="0" applyFont="true" applyBorder="true" applyAlignment="false" applyProtection="false">
      <alignment horizontal="general" vertical="bottom" textRotation="0" wrapText="false" indent="0" shrinkToFit="false"/>
      <protection locked="true" hidden="false"/>
    </xf>
    <xf numFmtId="171" fontId="11" fillId="3"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bottom" textRotation="0" wrapText="tru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66" fontId="11" fillId="3"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76" fontId="9"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77" fontId="9"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C00000"/>
      </font>
    </dxf>
    <dxf>
      <font>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B3"/>
      <rgbColor rgb="FFEEF0F7"/>
      <rgbColor rgb="FF660066"/>
      <rgbColor rgb="FFFF8080"/>
      <rgbColor rgb="FF0563C1"/>
      <rgbColor rgb="FFD9DCE8"/>
      <rgbColor rgb="FF000080"/>
      <rgbColor rgb="FFFF00FF"/>
      <rgbColor rgb="FFFFFF00"/>
      <rgbColor rgb="FF00FFFF"/>
      <rgbColor rgb="FF800080"/>
      <rgbColor rgb="FF800000"/>
      <rgbColor rgb="FF008080"/>
      <rgbColor rgb="FF0000FF"/>
      <rgbColor rgb="FF00CCFF"/>
      <rgbColor rgb="FFCCFFFF"/>
      <rgbColor rgb="FFCCFFCC"/>
      <rgbColor rgb="FFFDEEE6"/>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B8501F"/>
      <rgbColor rgb="FF993366"/>
      <rgbColor rgb="FF333399"/>
      <rgbColor rgb="FF1F2350"/>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customXml" Target="../customXml/item2.xml"/><Relationship Id="rId5" Type="http://schemas.openxmlformats.org/officeDocument/2006/relationships/worksheet" Target="worksheets/sheet3.xml"/><Relationship Id="rId10" Type="http://schemas.openxmlformats.org/officeDocument/2006/relationships/customXml" Target="../customXml/item1.xml"/><Relationship Id="rId4" Type="http://schemas.openxmlformats.org/officeDocument/2006/relationships/worksheet" Target="worksheets/sheet2.xml"/><Relationship Id="rId9" Type="http://schemas.openxmlformats.org/officeDocument/2006/relationships/sharedStrings" Target="sharedStrings.xml"/></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0</xdr:row>
      <xdr:rowOff>0</xdr:rowOff>
    </xdr:from>
    <xdr:to>
      <xdr:col>4</xdr:col>
      <xdr:colOff>685440</xdr:colOff>
      <xdr:row>3</xdr:row>
      <xdr:rowOff>54360</xdr:rowOff>
    </xdr:to>
    <xdr:pic>
      <xdr:nvPicPr>
        <xdr:cNvPr id="0" name="Image 1" descr="Picture"/>
        <xdr:cNvPicPr/>
      </xdr:nvPicPr>
      <xdr:blipFill>
        <a:blip r:embed="rId1"/>
        <a:stretch/>
      </xdr:blipFill>
      <xdr:spPr>
        <a:xfrm>
          <a:off x="6766560" y="0"/>
          <a:ext cx="685440" cy="6854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jacksonleeaccountants.co.uk/book" TargetMode="External"/><Relationship Id="rId2" Type="http://schemas.openxmlformats.org/officeDocument/2006/relationships/hyperlink" Target="https://www.jacksonleeaccountants.co.uk/fee-estimate?utm_source=mileage-tracker&amp;utm_medium=xlsx&amp;utm_campaign=free-downloads" TargetMode="External"/><Relationship Id="rId3" Type="http://schemas.openxmlformats.org/officeDocument/2006/relationships/hyperlink" Target="tel:+441613270047" TargetMode="External"/><Relationship Id="rId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gov.uk/government/collections/tax-and-national-insurance-contributions-for-employee-travel-490" TargetMode="External"/><Relationship Id="rId2" Type="http://schemas.openxmlformats.org/officeDocument/2006/relationships/hyperlink" Target="https://www.gov.uk/tax-relief-for-employees/vehicles-you-use-for-work" TargetMode="External"/><Relationship Id="rId3" Type="http://schemas.openxmlformats.org/officeDocument/2006/relationships/hyperlink" Target="https://www.gov.uk/expenses-and-benefits-business-travel-mileage"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jacksonleeaccountants.co.uk/book" TargetMode="External"/><Relationship Id="rId2" Type="http://schemas.openxmlformats.org/officeDocument/2006/relationships/hyperlink" Target="https://www.jacksonleeaccountants.co.uk/fee-estimate?utm_source=mileage-tracker&amp;utm_medium=xlsx&amp;utm_campaign=free-downloads" TargetMode="External"/><Relationship Id="rId3" Type="http://schemas.openxmlformats.org/officeDocument/2006/relationships/hyperlink" Target="tel:+441613270047"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jacksonleeaccountants.co.uk/book" TargetMode="External"/><Relationship Id="rId2" Type="http://schemas.openxmlformats.org/officeDocument/2006/relationships/hyperlink" Target="https://www.jacksonleeaccountants.co.uk/fee-estimate?utm_source=mileage-tracker&amp;utm_medium=xlsx&amp;utm_campaign=free-downloads" TargetMode="External"/><Relationship Id="rId3" Type="http://schemas.openxmlformats.org/officeDocument/2006/relationships/hyperlink" Target="tel:+441613270047"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gov.uk/government/publications/rates-and-allowances-travel-mileage-and-fuel-allowances/travel-mileage-and-fuel-rates-and-allowances" TargetMode="External"/><Relationship Id="rId2" Type="http://schemas.openxmlformats.org/officeDocument/2006/relationships/hyperlink" Target="https://www.gov.uk/government/publications/budget-2026-overview-of-tax-legislation-and-rates-ootlar/budget-2026-overview-of-tax-legislation-and-rates-ootlar" TargetMode="External"/><Relationship Id="rId3" Type="http://schemas.openxmlformats.org/officeDocument/2006/relationships/hyperlink" Target="https://www.gov.uk/government/publications/rates-and-allowances-travel-mileage-and-fuel-allowances/travel-mileage-and-fuel-rates-and-allowances" TargetMode="External"/><Relationship Id="rId4" Type="http://schemas.openxmlformats.org/officeDocument/2006/relationships/hyperlink" Target="https://www.gov.uk/government/publications/rates-and-allowances-travel-mileage-and-fuel-allowances/travel-mileage-and-fuel-rates-and-allowances" TargetMode="External"/><Relationship Id="rId5" Type="http://schemas.openxmlformats.org/officeDocument/2006/relationships/hyperlink" Target="https://www.gov.uk/expenses-and-benefits-business-travel-mileage" TargetMode="External"/><Relationship Id="rId6" Type="http://schemas.openxmlformats.org/officeDocument/2006/relationships/hyperlink" Target="https://www.gov.uk/guidance/national-insurance-contributions-and-employee-travel-expenses-490-chapter-6" TargetMode="External"/><Relationship Id="rId7" Type="http://schemas.openxmlformats.org/officeDocument/2006/relationships/hyperlink" Target="https://www.gov.uk/government/publications/rates-and-allowances-travel-mileage-and-fuel-allowances/travel-mileage-and-fuel-rates-and-allowances" TargetMode="External"/><Relationship Id="rId8" Type="http://schemas.openxmlformats.org/officeDocument/2006/relationships/hyperlink" Target="https://www.gov.uk/expenses-and-benefits-business-travel-mileage" TargetMode="External"/><Relationship Id="rId9" Type="http://schemas.openxmlformats.org/officeDocument/2006/relationships/hyperlink" Target="https://www.gov.uk/tax-relief-for-employees/vehicles-you-use-for-work" TargetMode="External"/><Relationship Id="rId10" Type="http://schemas.openxmlformats.org/officeDocument/2006/relationships/hyperlink" Target="https://www.gov.uk/hmrc-internal-manuals/employment-income-manual/eim31330" TargetMode="External"/><Relationship Id="rId11" Type="http://schemas.openxmlformats.org/officeDocument/2006/relationships/hyperlink" Target="https://www.gov.uk/government/collections/tax-and-national-insurance-contributions-for-employee-travel-490" TargetMode="External"/><Relationship Id="rId12" Type="http://schemas.openxmlformats.org/officeDocument/2006/relationships/hyperlink" Target="https://www.gov.uk/government/publications/rates-and-allowances-travel-mileage-and-fuel-allowances/travel-mileage-and-fuel-rates-and-allowances" TargetMode="External"/><Relationship Id="rId13" Type="http://schemas.openxmlformats.org/officeDocument/2006/relationships/hyperlink" Target="https://www.legislation.gov.uk/ukpga/2026/26" TargetMode="External"/><Relationship Id="rId14" Type="http://schemas.openxmlformats.org/officeDocument/2006/relationships/hyperlink" Target="https://www.gov.uk/government/publications/budget-2026-overview-of-tax-legislation-and-rates-ootlar/budget-2026-overview-of-tax-legislation-and-rates-ootlar" TargetMode="External"/><Relationship Id="rId15" Type="http://schemas.openxmlformats.org/officeDocument/2006/relationships/hyperlink" Target="https://www.jacksonleeaccountants.co.uk/book" TargetMode="External"/><Relationship Id="rId16" Type="http://schemas.openxmlformats.org/officeDocument/2006/relationships/hyperlink" Target="https://www.jacksonleeaccountants.co.uk/fee-estimate?utm_source=mileage-tracker&amp;utm_medium=xlsx&amp;utm_campaign=free-downloads" TargetMode="External"/><Relationship Id="rId17" Type="http://schemas.openxmlformats.org/officeDocument/2006/relationships/hyperlink" Target="tel:+441613270047"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www.gov.uk/government/collections/tax-and-national-insurance-contributions-for-employee-travel-490" TargetMode="External"/><Relationship Id="rId2" Type="http://schemas.openxmlformats.org/officeDocument/2006/relationships/hyperlink" Target="https://www.gov.uk/tax-relief-for-employees/vehicles-you-use-for-work" TargetMode="External"/><Relationship Id="rId3" Type="http://schemas.openxmlformats.org/officeDocument/2006/relationships/hyperlink" Target="https://www.gov.uk/expenses-and-benefits-business-travel-mileag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6"/>
    <col collapsed="false" customWidth="true" hidden="false" outlineLevel="0" max="3" min="3" style="0" width="24"/>
    <col collapsed="false" customWidth="true" hidden="false" outlineLevel="0" max="4" min="4" style="0" width="22"/>
    <col collapsed="false" customWidth="true" hidden="false" outlineLevel="0" max="5" min="5" style="0" width="5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B3" s="3" t="s">
        <v>2</v>
      </c>
    </row>
    <row r="5" customFormat="false" ht="15" hidden="false" customHeight="false" outlineLevel="0" collapsed="false">
      <c r="B5" s="4" t="s">
        <v>3</v>
      </c>
    </row>
    <row r="6" customFormat="false" ht="15" hidden="false" customHeight="false" outlineLevel="0" collapsed="false">
      <c r="B6" s="5" t="s">
        <v>4</v>
      </c>
      <c r="C6" s="6"/>
    </row>
    <row r="7" customFormat="false" ht="15" hidden="false" customHeight="false" outlineLevel="0" collapsed="false">
      <c r="B7" s="5" t="s">
        <v>5</v>
      </c>
      <c r="C7" s="6"/>
    </row>
    <row r="8" customFormat="false" ht="15" hidden="false" customHeight="false" outlineLevel="0" collapsed="false">
      <c r="B8" s="5" t="s">
        <v>6</v>
      </c>
      <c r="C8" s="6" t="s">
        <v>7</v>
      </c>
      <c r="D8" s="2" t="s">
        <v>8</v>
      </c>
    </row>
    <row r="9" customFormat="false" ht="15" hidden="false" customHeight="false" outlineLevel="0" collapsed="false">
      <c r="B9" s="5" t="s">
        <v>9</v>
      </c>
      <c r="C9" s="7" t="n">
        <f aca="false">DATE(VALUE(LEFT(C8,4)),4,6)</f>
        <v>46118</v>
      </c>
    </row>
    <row r="10" customFormat="false" ht="15" hidden="false" customHeight="false" outlineLevel="0" collapsed="false">
      <c r="B10" s="5" t="s">
        <v>10</v>
      </c>
      <c r="C10" s="7" t="n">
        <f aca="false">DATE(VALUE(LEFT(C8,4))+1,4,5)</f>
        <v>46482</v>
      </c>
    </row>
    <row r="11" customFormat="false" ht="15" hidden="false" customHeight="false" outlineLevel="0" collapsed="false">
      <c r="B11" s="2" t="s">
        <v>11</v>
      </c>
      <c r="C11" s="2" t="n">
        <f aca="false">IF(C8="2027/28",2,1)</f>
        <v>1</v>
      </c>
    </row>
    <row r="13" customFormat="false" ht="15" hidden="false" customHeight="false" outlineLevel="0" collapsed="false">
      <c r="B13" s="4" t="s">
        <v>12</v>
      </c>
    </row>
    <row r="14" customFormat="false" ht="15" hidden="false" customHeight="false" outlineLevel="0" collapsed="false">
      <c r="B14" s="2" t="s">
        <v>13</v>
      </c>
    </row>
    <row r="15" customFormat="false" ht="15" hidden="false" customHeight="false" outlineLevel="0" collapsed="false">
      <c r="B15" s="8" t="s">
        <v>14</v>
      </c>
      <c r="C15" s="8" t="s">
        <v>15</v>
      </c>
    </row>
    <row r="16" customFormat="false" ht="15" hidden="false" customHeight="true" outlineLevel="0" collapsed="false">
      <c r="B16" s="6"/>
      <c r="C16" s="6"/>
      <c r="D16" s="9" t="s">
        <v>16</v>
      </c>
      <c r="E16" s="9"/>
    </row>
    <row r="17" customFormat="false" ht="15" hidden="false" customHeight="false" outlineLevel="0" collapsed="false">
      <c r="B17" s="6"/>
      <c r="C17" s="6"/>
      <c r="D17" s="9"/>
      <c r="E17" s="9"/>
    </row>
    <row r="18" customFormat="false" ht="15" hidden="false" customHeight="false" outlineLevel="0" collapsed="false">
      <c r="B18" s="6"/>
      <c r="C18" s="6"/>
      <c r="D18" s="9"/>
      <c r="E18" s="9"/>
    </row>
    <row r="19" customFormat="false" ht="15" hidden="false" customHeight="false" outlineLevel="0" collapsed="false">
      <c r="B19" s="6"/>
      <c r="C19" s="6"/>
    </row>
    <row r="20" customFormat="false" ht="15" hidden="false" customHeight="false" outlineLevel="0" collapsed="false">
      <c r="B20" s="6"/>
      <c r="C20" s="6"/>
    </row>
    <row r="22" customFormat="false" ht="15" hidden="false" customHeight="false" outlineLevel="0" collapsed="false">
      <c r="B22" s="4" t="s">
        <v>17</v>
      </c>
    </row>
    <row r="23" customFormat="false" ht="15" hidden="false" customHeight="false" outlineLevel="0" collapsed="false">
      <c r="B23" s="10" t="s">
        <v>18</v>
      </c>
      <c r="C23" s="10"/>
      <c r="D23" s="10"/>
      <c r="E23" s="10"/>
    </row>
    <row r="24" customFormat="false" ht="15" hidden="false" customHeight="false" outlineLevel="0" collapsed="false">
      <c r="B24" s="10" t="s">
        <v>19</v>
      </c>
      <c r="C24" s="10"/>
      <c r="D24" s="10"/>
      <c r="E24" s="10"/>
    </row>
    <row r="25" customFormat="false" ht="15" hidden="false" customHeight="false" outlineLevel="0" collapsed="false">
      <c r="B25" s="10" t="s">
        <v>20</v>
      </c>
      <c r="C25" s="10"/>
      <c r="D25" s="10"/>
      <c r="E25" s="10"/>
    </row>
    <row r="26" customFormat="false" ht="15" hidden="false" customHeight="false" outlineLevel="0" collapsed="false">
      <c r="B26" s="10" t="s">
        <v>21</v>
      </c>
      <c r="C26" s="10"/>
      <c r="D26" s="10"/>
      <c r="E26" s="10"/>
    </row>
    <row r="27" customFormat="false" ht="15" hidden="false" customHeight="false" outlineLevel="0" collapsed="false">
      <c r="B27" s="10" t="s">
        <v>22</v>
      </c>
      <c r="C27" s="10"/>
      <c r="D27" s="10"/>
      <c r="E27" s="10"/>
    </row>
    <row r="28" customFormat="false" ht="15" hidden="false" customHeight="false" outlineLevel="0" collapsed="false">
      <c r="B28" s="10" t="s">
        <v>23</v>
      </c>
      <c r="C28" s="10"/>
      <c r="D28" s="10"/>
      <c r="E28" s="10"/>
    </row>
    <row r="30" customFormat="false" ht="15" hidden="false" customHeight="false" outlineLevel="0" collapsed="false">
      <c r="B30" s="4" t="s">
        <v>24</v>
      </c>
    </row>
    <row r="31" customFormat="false" ht="30" hidden="false" customHeight="true" outlineLevel="0" collapsed="false">
      <c r="B31" s="11" t="s">
        <v>25</v>
      </c>
      <c r="C31" s="11"/>
      <c r="D31" s="11"/>
      <c r="E31" s="11"/>
    </row>
    <row r="33" customFormat="false" ht="15" hidden="false" customHeight="false" outlineLevel="0" collapsed="false">
      <c r="B33" s="4" t="s">
        <v>26</v>
      </c>
    </row>
    <row r="34" customFormat="false" ht="30" hidden="false" customHeight="true" outlineLevel="0" collapsed="false">
      <c r="B34" s="11" t="s">
        <v>27</v>
      </c>
      <c r="C34" s="11"/>
      <c r="D34" s="11"/>
      <c r="E34" s="11"/>
    </row>
    <row r="36" customFormat="false" ht="15" hidden="false" customHeight="false" outlineLevel="0" collapsed="false">
      <c r="B36" s="4" t="s">
        <v>28</v>
      </c>
    </row>
    <row r="37" customFormat="false" ht="30" hidden="false" customHeight="true" outlineLevel="0" collapsed="false">
      <c r="B37" s="11" t="s">
        <v>29</v>
      </c>
      <c r="C37" s="11"/>
      <c r="D37" s="11"/>
      <c r="E37" s="11"/>
    </row>
    <row r="39" customFormat="false" ht="15" hidden="false" customHeight="false" outlineLevel="0" collapsed="false">
      <c r="B39" s="4" t="s">
        <v>30</v>
      </c>
    </row>
    <row r="40" customFormat="false" ht="27.75" hidden="false" customHeight="true" outlineLevel="0" collapsed="false">
      <c r="B40" s="12" t="s">
        <v>31</v>
      </c>
      <c r="C40" s="13" t="n">
        <f aca="false">SUMPRODUCT(('Journey log'!$F$6:$F$505&lt;&gt;"")*('Journey log'!$A$6:$A$505=""))</f>
        <v>0</v>
      </c>
      <c r="D40" s="14" t="str">
        <f aca="false">IF(C40=0,"OK","Please review")</f>
        <v>OK</v>
      </c>
    </row>
    <row r="41" customFormat="false" ht="27.75" hidden="false" customHeight="true" outlineLevel="0" collapsed="false">
      <c r="B41" s="12" t="s">
        <v>32</v>
      </c>
      <c r="C41" s="13" t="n">
        <f aca="false">SUMPRODUCT(('Journey log'!$A$6:$A$505&lt;&gt;"")*(('Journey log'!$A$6:$A$505&lt;C9)+('Journey log'!$A$6:$A$505&gt;C10)))</f>
        <v>0</v>
      </c>
      <c r="D41" s="14" t="str">
        <f aca="false">IF(C41=0,"OK","Please review")</f>
        <v>OK</v>
      </c>
    </row>
    <row r="42" customFormat="false" ht="27.75" hidden="false" customHeight="true" outlineLevel="0" collapsed="false">
      <c r="B42" s="12" t="s">
        <v>33</v>
      </c>
      <c r="C42" s="13" t="n">
        <f aca="false">SUMPRODUCT(('Journey log'!$F$6:$F$505&lt;&gt;"")*('Journey log'!$B$6:$B$505=""))+COUNTIF('Journey log'!$H$6:$H$505,"Check vehicle")</f>
        <v>0</v>
      </c>
      <c r="D42" s="14" t="str">
        <f aca="false">IF(C42=0,"OK","Please review")</f>
        <v>OK</v>
      </c>
    </row>
    <row r="43" customFormat="false" ht="27.75" hidden="false" customHeight="true" outlineLevel="0" collapsed="false">
      <c r="B43" s="12" t="s">
        <v>34</v>
      </c>
      <c r="C43" s="13" t="n">
        <f aca="false">SUMPRODUCT(--ISTEXT('Journey log'!$F$6:$F$505))+SUMPRODUCT(--ISTEXT('Journey log'!$L$6:$L$505))</f>
        <v>0</v>
      </c>
      <c r="D43" s="14" t="str">
        <f aca="false">IF(C43=0,"OK","Please review")</f>
        <v>OK</v>
      </c>
    </row>
    <row r="44" customFormat="false" ht="27.75" hidden="false" customHeight="true" outlineLevel="0" collapsed="false">
      <c r="B44" s="12" t="s">
        <v>35</v>
      </c>
      <c r="C44" s="13" t="n">
        <f aca="false">SUMPRODUCT(('Journey log'!$G$6:$G$505&gt;0)*('Journey log'!$H$6:$H$505&lt;&gt;"Car or van")*('Journey log'!$H$6:$H$505&lt;&gt;""))</f>
        <v>0</v>
      </c>
      <c r="D44" s="14" t="str">
        <f aca="false">IF(C44=0,"OK","Please review")</f>
        <v>OK</v>
      </c>
    </row>
    <row r="46" customFormat="false" ht="15" hidden="false" customHeight="false" outlineLevel="0" collapsed="false">
      <c r="B46" s="4" t="s">
        <v>36</v>
      </c>
    </row>
    <row r="47" customFormat="false" ht="30" hidden="false" customHeight="true" outlineLevel="0" collapsed="false">
      <c r="B47" s="11" t="s">
        <v>37</v>
      </c>
      <c r="C47" s="11"/>
      <c r="D47" s="11"/>
      <c r="E47" s="11"/>
    </row>
    <row r="48" customFormat="false" ht="30" hidden="false" customHeight="true" outlineLevel="0" collapsed="false">
      <c r="B48" s="11" t="s">
        <v>38</v>
      </c>
      <c r="C48" s="11"/>
      <c r="D48" s="11"/>
      <c r="E48" s="11"/>
    </row>
    <row r="49" customFormat="false" ht="30" hidden="false" customHeight="true" outlineLevel="0" collapsed="false">
      <c r="B49" s="11" t="s">
        <v>39</v>
      </c>
      <c r="C49" s="11"/>
      <c r="D49" s="11"/>
      <c r="E49" s="11"/>
    </row>
    <row r="50" customFormat="false" ht="30" hidden="false" customHeight="true" outlineLevel="0" collapsed="false">
      <c r="B50" s="11" t="s">
        <v>40</v>
      </c>
      <c r="C50" s="11"/>
      <c r="D50" s="11"/>
      <c r="E50" s="11"/>
    </row>
    <row r="51" customFormat="false" ht="30" hidden="false" customHeight="true" outlineLevel="0" collapsed="false">
      <c r="B51" s="11" t="s">
        <v>41</v>
      </c>
      <c r="C51" s="11"/>
      <c r="D51" s="11"/>
      <c r="E51" s="11"/>
    </row>
    <row r="53" customFormat="false" ht="15" hidden="false" customHeight="false" outlineLevel="0" collapsed="false">
      <c r="B53" s="4" t="s">
        <v>42</v>
      </c>
    </row>
    <row r="54" customFormat="false" ht="42" hidden="false" customHeight="true" outlineLevel="0" collapsed="false">
      <c r="A54" s="15" t="s">
        <v>43</v>
      </c>
      <c r="B54" s="15"/>
      <c r="C54" s="15"/>
      <c r="D54" s="15"/>
      <c r="E54" s="15"/>
    </row>
    <row r="55" customFormat="false" ht="15" hidden="false" customHeight="false" outlineLevel="0" collapsed="false">
      <c r="A55" s="16" t="s">
        <v>44</v>
      </c>
    </row>
    <row r="56" customFormat="false" ht="15" hidden="false" customHeight="false" outlineLevel="0" collapsed="false">
      <c r="A56" s="16" t="s">
        <v>45</v>
      </c>
    </row>
    <row r="57" customFormat="false" ht="15" hidden="false" customHeight="false" outlineLevel="0" collapsed="false">
      <c r="A57" s="16" t="s">
        <v>46</v>
      </c>
    </row>
    <row r="58" customFormat="false" ht="15" hidden="false" customHeight="false" outlineLevel="0" collapsed="false">
      <c r="A58" s="2" t="s">
        <v>47</v>
      </c>
    </row>
    <row r="59" customFormat="false" ht="15" hidden="false" customHeight="false" outlineLevel="0" collapsed="false">
      <c r="A59" s="17" t="s">
        <v>48</v>
      </c>
      <c r="B59" s="17"/>
      <c r="C59" s="17"/>
      <c r="D59" s="17"/>
      <c r="E59" s="17"/>
    </row>
  </sheetData>
  <sheetProtection sheet="true" formatCells="false" formatColumns="false" formatRows="false" sort="false" autoFilter="false"/>
  <mergeCells count="17">
    <mergeCell ref="D16:E18"/>
    <mergeCell ref="B23:E23"/>
    <mergeCell ref="B24:E24"/>
    <mergeCell ref="B25:E25"/>
    <mergeCell ref="B26:E26"/>
    <mergeCell ref="B27:E27"/>
    <mergeCell ref="B28:E28"/>
    <mergeCell ref="B31:E31"/>
    <mergeCell ref="B34:E34"/>
    <mergeCell ref="B37:E37"/>
    <mergeCell ref="B47:E47"/>
    <mergeCell ref="B48:E48"/>
    <mergeCell ref="B49:E49"/>
    <mergeCell ref="B50:E50"/>
    <mergeCell ref="B51:E51"/>
    <mergeCell ref="A54:E54"/>
    <mergeCell ref="A59:E59"/>
  </mergeCells>
  <conditionalFormatting sqref="D40:D44">
    <cfRule type="expression" priority="2" aboveAverage="0" equalAverage="0" bottom="0" percent="0" rank="0" text="" dxfId="0">
      <formula>D40&lt;&gt;"OK"</formula>
    </cfRule>
  </conditionalFormatting>
  <dataValidations count="2">
    <dataValidation allowBlank="false" error="Choose 2026/27 or 2027/28" errorStyle="stop" operator="between" showDropDown="false" showErrorMessage="false" showInputMessage="false" sqref="C8" type="list">
      <formula1>"2026/27,2027/28"</formula1>
      <formula2>0</formula2>
    </dataValidation>
    <dataValidation allowBlank="true" errorStyle="stop" operator="between" showDropDown="false" showErrorMessage="false" showInputMessage="false" sqref="C16:C20" type="list">
      <formula1>"Car or van,Motorcycle,Bicycle"</formula1>
      <formula2>0</formula2>
    </dataValidation>
  </dataValidations>
  <hyperlinks>
    <hyperlink ref="A55" r:id="rId1" display="Book a free 30-minute consultation"/>
    <hyperlink ref="A56" r:id="rId2" display="Get a fee estimate in 2 minutes"/>
    <hyperlink ref="A57" r:id="rId3" display="Call 0161 327 0047"/>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5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4" min="3" style="0" width="18"/>
    <col collapsed="false" customWidth="true" hidden="false" outlineLevel="0" max="5" min="5" style="0" width="30"/>
    <col collapsed="false" customWidth="true" hidden="false" outlineLevel="0" max="7" min="6" style="0" width="11"/>
    <col collapsed="false" customWidth="true" hidden="false" outlineLevel="0" max="12" min="8" style="0" width="13"/>
    <col collapsed="false" customWidth="true" hidden="false" outlineLevel="0" max="13" min="13" style="0" width="3"/>
    <col collapsed="false" customWidth="true" hidden="true" outlineLevel="0" max="16" min="14" style="0" width="12"/>
    <col collapsed="false" customWidth="true" hidden="false" outlineLevel="0" max="17" min="17" style="0" width="3"/>
    <col collapsed="false" customWidth="true" hidden="false" outlineLevel="0" max="18" min="18" style="0" width="42"/>
    <col collapsed="false" customWidth="true" hidden="false" outlineLevel="0" max="19" min="19" style="0" width="22"/>
  </cols>
  <sheetData>
    <row r="1" customFormat="false" ht="19.7" hidden="false" customHeight="false" outlineLevel="0" collapsed="false">
      <c r="A1" s="1" t="s">
        <v>49</v>
      </c>
    </row>
    <row r="2" customFormat="false" ht="15" hidden="false" customHeight="false" outlineLevel="0" collapsed="false">
      <c r="A2" s="2" t="s">
        <v>50</v>
      </c>
    </row>
    <row r="3" customFormat="false" ht="15" hidden="false" customHeight="false" outlineLevel="0" collapsed="false">
      <c r="A3" s="14" t="str">
        <f aca="false">"Tax year "&amp;'Start here'!C8&amp;": "&amp;TEXT('Start here'!C9,"d mmm yyyy")&amp;" to "&amp;TEXT('Start here'!C10,"d mmm yyyy")</f>
        <v>Tax year 2026/27: 6 Apr 2026 to 5 Apr 2027</v>
      </c>
    </row>
    <row r="5" customFormat="false" ht="42" hidden="false" customHeight="true" outlineLevel="0" collapsed="false">
      <c r="A5" s="18" t="s">
        <v>51</v>
      </c>
      <c r="B5" s="18" t="s">
        <v>52</v>
      </c>
      <c r="C5" s="18" t="s">
        <v>53</v>
      </c>
      <c r="D5" s="18" t="s">
        <v>54</v>
      </c>
      <c r="E5" s="18" t="s">
        <v>55</v>
      </c>
      <c r="F5" s="18" t="s">
        <v>56</v>
      </c>
      <c r="G5" s="18" t="s">
        <v>57</v>
      </c>
      <c r="H5" s="18" t="s">
        <v>58</v>
      </c>
      <c r="I5" s="18" t="s">
        <v>59</v>
      </c>
      <c r="J5" s="18" t="s">
        <v>60</v>
      </c>
      <c r="K5" s="18" t="s">
        <v>61</v>
      </c>
      <c r="L5" s="18" t="s">
        <v>62</v>
      </c>
      <c r="N5" s="2" t="s">
        <v>63</v>
      </c>
      <c r="O5" s="2" t="s">
        <v>64</v>
      </c>
      <c r="P5" s="2" t="s">
        <v>65</v>
      </c>
      <c r="R5" s="19" t="s">
        <v>66</v>
      </c>
      <c r="S5" s="20"/>
    </row>
    <row r="6" customFormat="false" ht="15" hidden="false" customHeight="false" outlineLevel="0" collapsed="false">
      <c r="A6" s="21"/>
      <c r="B6" s="6"/>
      <c r="C6" s="6"/>
      <c r="D6" s="6"/>
      <c r="E6" s="6"/>
      <c r="F6" s="22"/>
      <c r="G6" s="23"/>
      <c r="H6" s="24" t="str">
        <f aca="false">IF(B6="","",IFERROR(INDEX('Start here'!$C$16:$C$20,MATCH(B6,'Start here'!$B$16:$B$20,0)),"Check vehicle"))</f>
        <v/>
      </c>
      <c r="I6" s="25" t="str">
        <f aca="false">IF(OR(F6="",H6&lt;&gt;"Car or van"),"",SUMIFS($F$6:F6,$H$6:H6,"Car or van"))</f>
        <v/>
      </c>
      <c r="J6" s="24" t="str">
        <f aca="false">IF(F6="","",IF(H6="Car or van",IF(O6=0,TEXT(INDEX('Notes and sources'!$C$6:$D$6,1,'Start here'!$C$11)*100,"0")&amp;"p",IF(N6=0,TEXT(INDEX('Notes and sources'!$C$7:$D$7,1,'Start here'!$C$11)*100,"0")&amp;"p",TEXT(INDEX('Notes and sources'!$C$6:$D$6,1,'Start here'!$C$11)*100,"0")&amp;"p/"&amp;TEXT(INDEX('Notes and sources'!$C$7:$D$7,1,'Start here'!$C$11)*100,"0")&amp;"p")),IF(H6="Motorcycle",TEXT(INDEX('Notes and sources'!$C$8:$D$8,1,'Start here'!$C$11)*100,"0")&amp;"p",IF(H6="Bicycle",TEXT(INDEX('Notes and sources'!$C$9:$D$9,1,'Start here'!$C$11)*100,"0")&amp;"p",""))))</f>
        <v/>
      </c>
      <c r="K6" s="26" t="str">
        <f aca="false">IF(F6="","",ROUND(IF(H6="Car or van",N6*INDEX('Notes and sources'!$C$6:$D$6,1,'Start here'!$C$11)+O6*INDEX('Notes and sources'!$C$7:$D$7,1,'Start here'!$C$11)+N(G6)*N(F6)*INDEX('Notes and sources'!$C$10:$D$10,1,'Start here'!$C$11),IF(H6="Motorcycle",N(F6)*INDEX('Notes and sources'!$C$8:$D$8,1,'Start here'!$C$11),IF(H6="Bicycle",N(F6)*INDEX('Notes and sources'!$C$9:$D$9,1,'Start here'!$C$11),0))),2))</f>
        <v/>
      </c>
      <c r="L6" s="27"/>
      <c r="N6" s="2" t="n">
        <f aca="false">IF(I6="",0,MAX(0,MIN(N(F6),INDEX('Notes and sources'!$C$12:$D$12,1,'Start here'!$C$11)-(I6-N(F6)))))</f>
        <v>0</v>
      </c>
      <c r="O6" s="2" t="n">
        <f aca="false">IF(I6="",0,N(F6)-N6)</f>
        <v>0</v>
      </c>
      <c r="P6" s="2" t="str">
        <f aca="false">IF(A6="","",IF(AND(MONTH(A6)=4,DAY(A6)&lt;6),13,MOD(MONTH(A6)-4,12)+1))</f>
        <v/>
      </c>
      <c r="R6" s="14" t="s">
        <v>67</v>
      </c>
    </row>
    <row r="7" customFormat="false" ht="15" hidden="false" customHeight="true" outlineLevel="0" collapsed="false">
      <c r="A7" s="21"/>
      <c r="B7" s="6"/>
      <c r="C7" s="6"/>
      <c r="D7" s="6"/>
      <c r="E7" s="6"/>
      <c r="F7" s="22"/>
      <c r="G7" s="23"/>
      <c r="H7" s="24" t="str">
        <f aca="false">IF(B7="","",IFERROR(INDEX('Start here'!$C$16:$C$20,MATCH(B7,'Start here'!$B$16:$B$20,0)),"Check vehicle"))</f>
        <v/>
      </c>
      <c r="I7" s="25" t="str">
        <f aca="false">IF(OR(F7="",H7&lt;&gt;"Car or van"),"",SUMIFS($F$6:F7,$H$6:H7,"Car or van"))</f>
        <v/>
      </c>
      <c r="J7" s="24" t="str">
        <f aca="false">IF(F7="","",IF(H7="Car or van",IF(O7=0,TEXT(INDEX('Notes and sources'!$C$6:$D$6,1,'Start here'!$C$11)*100,"0")&amp;"p",IF(N7=0,TEXT(INDEX('Notes and sources'!$C$7:$D$7,1,'Start here'!$C$11)*100,"0")&amp;"p",TEXT(INDEX('Notes and sources'!$C$6:$D$6,1,'Start here'!$C$11)*100,"0")&amp;"p/"&amp;TEXT(INDEX('Notes and sources'!$C$7:$D$7,1,'Start here'!$C$11)*100,"0")&amp;"p")),IF(H7="Motorcycle",TEXT(INDEX('Notes and sources'!$C$8:$D$8,1,'Start here'!$C$11)*100,"0")&amp;"p",IF(H7="Bicycle",TEXT(INDEX('Notes and sources'!$C$9:$D$9,1,'Start here'!$C$11)*100,"0")&amp;"p",""))))</f>
        <v/>
      </c>
      <c r="K7" s="26" t="str">
        <f aca="false">IF(F7="","",ROUND(IF(H7="Car or van",N7*INDEX('Notes and sources'!$C$6:$D$6,1,'Start here'!$C$11)+O7*INDEX('Notes and sources'!$C$7:$D$7,1,'Start here'!$C$11)+N(G7)*N(F7)*INDEX('Notes and sources'!$C$10:$D$10,1,'Start here'!$C$11),IF(H7="Motorcycle",N(F7)*INDEX('Notes and sources'!$C$8:$D$8,1,'Start here'!$C$11),IF(H7="Bicycle",N(F7)*INDEX('Notes and sources'!$C$9:$D$9,1,'Start here'!$C$11),0))),2))</f>
        <v/>
      </c>
      <c r="L7" s="27"/>
      <c r="N7" s="2" t="n">
        <f aca="false">IF(I7="",0,MAX(0,MIN(N(F7),INDEX('Notes and sources'!$C$12:$D$12,1,'Start here'!$C$11)-(I7-N(F7)))))</f>
        <v>0</v>
      </c>
      <c r="O7" s="2" t="n">
        <f aca="false">IF(I7="",0,N(F7)-N7)</f>
        <v>0</v>
      </c>
      <c r="P7" s="2" t="str">
        <f aca="false">IF(A7="","",IF(AND(MONTH(A7)=4,DAY(A7)&lt;6),13,MOD(MONTH(A7)-4,12)+1))</f>
        <v/>
      </c>
      <c r="R7" s="9" t="s">
        <v>68</v>
      </c>
      <c r="S7" s="9"/>
    </row>
    <row r="8" customFormat="false" ht="15" hidden="false" customHeight="false" outlineLevel="0" collapsed="false">
      <c r="A8" s="21"/>
      <c r="B8" s="6"/>
      <c r="C8" s="6"/>
      <c r="D8" s="6"/>
      <c r="E8" s="6"/>
      <c r="F8" s="22"/>
      <c r="G8" s="23"/>
      <c r="H8" s="24" t="str">
        <f aca="false">IF(B8="","",IFERROR(INDEX('Start here'!$C$16:$C$20,MATCH(B8,'Start here'!$B$16:$B$20,0)),"Check vehicle"))</f>
        <v/>
      </c>
      <c r="I8" s="25" t="str">
        <f aca="false">IF(OR(F8="",H8&lt;&gt;"Car or van"),"",SUMIFS($F$6:F8,$H$6:H8,"Car or van"))</f>
        <v/>
      </c>
      <c r="J8" s="24" t="str">
        <f aca="false">IF(F8="","",IF(H8="Car or van",IF(O8=0,TEXT(INDEX('Notes and sources'!$C$6:$D$6,1,'Start here'!$C$11)*100,"0")&amp;"p",IF(N8=0,TEXT(INDEX('Notes and sources'!$C$7:$D$7,1,'Start here'!$C$11)*100,"0")&amp;"p",TEXT(INDEX('Notes and sources'!$C$6:$D$6,1,'Start here'!$C$11)*100,"0")&amp;"p/"&amp;TEXT(INDEX('Notes and sources'!$C$7:$D$7,1,'Start here'!$C$11)*100,"0")&amp;"p")),IF(H8="Motorcycle",TEXT(INDEX('Notes and sources'!$C$8:$D$8,1,'Start here'!$C$11)*100,"0")&amp;"p",IF(H8="Bicycle",TEXT(INDEX('Notes and sources'!$C$9:$D$9,1,'Start here'!$C$11)*100,"0")&amp;"p",""))))</f>
        <v/>
      </c>
      <c r="K8" s="26" t="str">
        <f aca="false">IF(F8="","",ROUND(IF(H8="Car or van",N8*INDEX('Notes and sources'!$C$6:$D$6,1,'Start here'!$C$11)+O8*INDEX('Notes and sources'!$C$7:$D$7,1,'Start here'!$C$11)+N(G8)*N(F8)*INDEX('Notes and sources'!$C$10:$D$10,1,'Start here'!$C$11),IF(H8="Motorcycle",N(F8)*INDEX('Notes and sources'!$C$8:$D$8,1,'Start here'!$C$11),IF(H8="Bicycle",N(F8)*INDEX('Notes and sources'!$C$9:$D$9,1,'Start here'!$C$11),0))),2))</f>
        <v/>
      </c>
      <c r="L8" s="27"/>
      <c r="N8" s="2" t="n">
        <f aca="false">IF(I8="",0,MAX(0,MIN(N(F8),INDEX('Notes and sources'!$C$12:$D$12,1,'Start here'!$C$11)-(I8-N(F8)))))</f>
        <v>0</v>
      </c>
      <c r="O8" s="2" t="n">
        <f aca="false">IF(I8="",0,N(F8)-N8)</f>
        <v>0</v>
      </c>
      <c r="P8" s="2" t="str">
        <f aca="false">IF(A8="","",IF(AND(MONTH(A8)=4,DAY(A8)&lt;6),13,MOD(MONTH(A8)-4,12)+1))</f>
        <v/>
      </c>
      <c r="R8" s="9"/>
      <c r="S8" s="9"/>
    </row>
    <row r="9" customFormat="false" ht="15" hidden="false" customHeight="false" outlineLevel="0" collapsed="false">
      <c r="A9" s="21"/>
      <c r="B9" s="6"/>
      <c r="C9" s="6"/>
      <c r="D9" s="6"/>
      <c r="E9" s="6"/>
      <c r="F9" s="22"/>
      <c r="G9" s="23"/>
      <c r="H9" s="24" t="str">
        <f aca="false">IF(B9="","",IFERROR(INDEX('Start here'!$C$16:$C$20,MATCH(B9,'Start here'!$B$16:$B$20,0)),"Check vehicle"))</f>
        <v/>
      </c>
      <c r="I9" s="25" t="str">
        <f aca="false">IF(OR(F9="",H9&lt;&gt;"Car or van"),"",SUMIFS($F$6:F9,$H$6:H9,"Car or van"))</f>
        <v/>
      </c>
      <c r="J9" s="24" t="str">
        <f aca="false">IF(F9="","",IF(H9="Car or van",IF(O9=0,TEXT(INDEX('Notes and sources'!$C$6:$D$6,1,'Start here'!$C$11)*100,"0")&amp;"p",IF(N9=0,TEXT(INDEX('Notes and sources'!$C$7:$D$7,1,'Start here'!$C$11)*100,"0")&amp;"p",TEXT(INDEX('Notes and sources'!$C$6:$D$6,1,'Start here'!$C$11)*100,"0")&amp;"p/"&amp;TEXT(INDEX('Notes and sources'!$C$7:$D$7,1,'Start here'!$C$11)*100,"0")&amp;"p")),IF(H9="Motorcycle",TEXT(INDEX('Notes and sources'!$C$8:$D$8,1,'Start here'!$C$11)*100,"0")&amp;"p",IF(H9="Bicycle",TEXT(INDEX('Notes and sources'!$C$9:$D$9,1,'Start here'!$C$11)*100,"0")&amp;"p",""))))</f>
        <v/>
      </c>
      <c r="K9" s="26" t="str">
        <f aca="false">IF(F9="","",ROUND(IF(H9="Car or van",N9*INDEX('Notes and sources'!$C$6:$D$6,1,'Start here'!$C$11)+O9*INDEX('Notes and sources'!$C$7:$D$7,1,'Start here'!$C$11)+N(G9)*N(F9)*INDEX('Notes and sources'!$C$10:$D$10,1,'Start here'!$C$11),IF(H9="Motorcycle",N(F9)*INDEX('Notes and sources'!$C$8:$D$8,1,'Start here'!$C$11),IF(H9="Bicycle",N(F9)*INDEX('Notes and sources'!$C$9:$D$9,1,'Start here'!$C$11),0))),2))</f>
        <v/>
      </c>
      <c r="L9" s="27"/>
      <c r="N9" s="2" t="n">
        <f aca="false">IF(I9="",0,MAX(0,MIN(N(F9),INDEX('Notes and sources'!$C$12:$D$12,1,'Start here'!$C$11)-(I9-N(F9)))))</f>
        <v>0</v>
      </c>
      <c r="O9" s="2" t="n">
        <f aca="false">IF(I9="",0,N(F9)-N9)</f>
        <v>0</v>
      </c>
      <c r="P9" s="2" t="str">
        <f aca="false">IF(A9="","",IF(AND(MONTH(A9)=4,DAY(A9)&lt;6),13,MOD(MONTH(A9)-4,12)+1))</f>
        <v/>
      </c>
      <c r="R9" s="9"/>
      <c r="S9" s="9"/>
    </row>
    <row r="10" customFormat="false" ht="15" hidden="false" customHeight="false" outlineLevel="0" collapsed="false">
      <c r="A10" s="21"/>
      <c r="B10" s="6"/>
      <c r="C10" s="6"/>
      <c r="D10" s="6"/>
      <c r="E10" s="6"/>
      <c r="F10" s="22"/>
      <c r="G10" s="23"/>
      <c r="H10" s="24" t="str">
        <f aca="false">IF(B10="","",IFERROR(INDEX('Start here'!$C$16:$C$20,MATCH(B10,'Start here'!$B$16:$B$20,0)),"Check vehicle"))</f>
        <v/>
      </c>
      <c r="I10" s="25" t="str">
        <f aca="false">IF(OR(F10="",H10&lt;&gt;"Car or van"),"",SUMIFS($F$6:F10,$H$6:H10,"Car or van"))</f>
        <v/>
      </c>
      <c r="J10" s="24" t="str">
        <f aca="false">IF(F10="","",IF(H10="Car or van",IF(O10=0,TEXT(INDEX('Notes and sources'!$C$6:$D$6,1,'Start here'!$C$11)*100,"0")&amp;"p",IF(N10=0,TEXT(INDEX('Notes and sources'!$C$7:$D$7,1,'Start here'!$C$11)*100,"0")&amp;"p",TEXT(INDEX('Notes and sources'!$C$6:$D$6,1,'Start here'!$C$11)*100,"0")&amp;"p/"&amp;TEXT(INDEX('Notes and sources'!$C$7:$D$7,1,'Start here'!$C$11)*100,"0")&amp;"p")),IF(H10="Motorcycle",TEXT(INDEX('Notes and sources'!$C$8:$D$8,1,'Start here'!$C$11)*100,"0")&amp;"p",IF(H10="Bicycle",TEXT(INDEX('Notes and sources'!$C$9:$D$9,1,'Start here'!$C$11)*100,"0")&amp;"p",""))))</f>
        <v/>
      </c>
      <c r="K10" s="26" t="str">
        <f aca="false">IF(F10="","",ROUND(IF(H10="Car or van",N10*INDEX('Notes and sources'!$C$6:$D$6,1,'Start here'!$C$11)+O10*INDEX('Notes and sources'!$C$7:$D$7,1,'Start here'!$C$11)+N(G10)*N(F10)*INDEX('Notes and sources'!$C$10:$D$10,1,'Start here'!$C$11),IF(H10="Motorcycle",N(F10)*INDEX('Notes and sources'!$C$8:$D$8,1,'Start here'!$C$11),IF(H10="Bicycle",N(F10)*INDEX('Notes and sources'!$C$9:$D$9,1,'Start here'!$C$11),0))),2))</f>
        <v/>
      </c>
      <c r="L10" s="27"/>
      <c r="N10" s="2" t="n">
        <f aca="false">IF(I10="",0,MAX(0,MIN(N(F10),INDEX('Notes and sources'!$C$12:$D$12,1,'Start here'!$C$11)-(I10-N(F10)))))</f>
        <v>0</v>
      </c>
      <c r="O10" s="2" t="n">
        <f aca="false">IF(I10="",0,N(F10)-N10)</f>
        <v>0</v>
      </c>
      <c r="P10" s="2" t="str">
        <f aca="false">IF(A10="","",IF(AND(MONTH(A10)=4,DAY(A10)&lt;6),13,MOD(MONTH(A10)-4,12)+1))</f>
        <v/>
      </c>
    </row>
    <row r="11" customFormat="false" ht="15" hidden="false" customHeight="false" outlineLevel="0" collapsed="false">
      <c r="A11" s="21"/>
      <c r="B11" s="6"/>
      <c r="C11" s="6"/>
      <c r="D11" s="6"/>
      <c r="E11" s="6"/>
      <c r="F11" s="22"/>
      <c r="G11" s="23"/>
      <c r="H11" s="24" t="str">
        <f aca="false">IF(B11="","",IFERROR(INDEX('Start here'!$C$16:$C$20,MATCH(B11,'Start here'!$B$16:$B$20,0)),"Check vehicle"))</f>
        <v/>
      </c>
      <c r="I11" s="25" t="str">
        <f aca="false">IF(OR(F11="",H11&lt;&gt;"Car or van"),"",SUMIFS($F$6:F11,$H$6:H11,"Car or van"))</f>
        <v/>
      </c>
      <c r="J11" s="24" t="str">
        <f aca="false">IF(F11="","",IF(H11="Car or van",IF(O11=0,TEXT(INDEX('Notes and sources'!$C$6:$D$6,1,'Start here'!$C$11)*100,"0")&amp;"p",IF(N11=0,TEXT(INDEX('Notes and sources'!$C$7:$D$7,1,'Start here'!$C$11)*100,"0")&amp;"p",TEXT(INDEX('Notes and sources'!$C$6:$D$6,1,'Start here'!$C$11)*100,"0")&amp;"p/"&amp;TEXT(INDEX('Notes and sources'!$C$7:$D$7,1,'Start here'!$C$11)*100,"0")&amp;"p")),IF(H11="Motorcycle",TEXT(INDEX('Notes and sources'!$C$8:$D$8,1,'Start here'!$C$11)*100,"0")&amp;"p",IF(H11="Bicycle",TEXT(INDEX('Notes and sources'!$C$9:$D$9,1,'Start here'!$C$11)*100,"0")&amp;"p",""))))</f>
        <v/>
      </c>
      <c r="K11" s="26" t="str">
        <f aca="false">IF(F11="","",ROUND(IF(H11="Car or van",N11*INDEX('Notes and sources'!$C$6:$D$6,1,'Start here'!$C$11)+O11*INDEX('Notes and sources'!$C$7:$D$7,1,'Start here'!$C$11)+N(G11)*N(F11)*INDEX('Notes and sources'!$C$10:$D$10,1,'Start here'!$C$11),IF(H11="Motorcycle",N(F11)*INDEX('Notes and sources'!$C$8:$D$8,1,'Start here'!$C$11),IF(H11="Bicycle",N(F11)*INDEX('Notes and sources'!$C$9:$D$9,1,'Start here'!$C$11),0))),2))</f>
        <v/>
      </c>
      <c r="L11" s="27"/>
      <c r="N11" s="2" t="n">
        <f aca="false">IF(I11="",0,MAX(0,MIN(N(F11),INDEX('Notes and sources'!$C$12:$D$12,1,'Start here'!$C$11)-(I11-N(F11)))))</f>
        <v>0</v>
      </c>
      <c r="O11" s="2" t="n">
        <f aca="false">IF(I11="",0,N(F11)-N11)</f>
        <v>0</v>
      </c>
      <c r="P11" s="2" t="str">
        <f aca="false">IF(A11="","",IF(AND(MONTH(A11)=4,DAY(A11)&lt;6),13,MOD(MONTH(A11)-4,12)+1))</f>
        <v/>
      </c>
      <c r="R11" s="14" t="s">
        <v>69</v>
      </c>
    </row>
    <row r="12" customFormat="false" ht="15" hidden="false" customHeight="true" outlineLevel="0" collapsed="false">
      <c r="A12" s="21"/>
      <c r="B12" s="6"/>
      <c r="C12" s="6"/>
      <c r="D12" s="6"/>
      <c r="E12" s="6"/>
      <c r="F12" s="22"/>
      <c r="G12" s="23"/>
      <c r="H12" s="24" t="str">
        <f aca="false">IF(B12="","",IFERROR(INDEX('Start here'!$C$16:$C$20,MATCH(B12,'Start here'!$B$16:$B$20,0)),"Check vehicle"))</f>
        <v/>
      </c>
      <c r="I12" s="25" t="str">
        <f aca="false">IF(OR(F12="",H12&lt;&gt;"Car or van"),"",SUMIFS($F$6:F12,$H$6:H12,"Car or van"))</f>
        <v/>
      </c>
      <c r="J12" s="24" t="str">
        <f aca="false">IF(F12="","",IF(H12="Car or van",IF(O12=0,TEXT(INDEX('Notes and sources'!$C$6:$D$6,1,'Start here'!$C$11)*100,"0")&amp;"p",IF(N12=0,TEXT(INDEX('Notes and sources'!$C$7:$D$7,1,'Start here'!$C$11)*100,"0")&amp;"p",TEXT(INDEX('Notes and sources'!$C$6:$D$6,1,'Start here'!$C$11)*100,"0")&amp;"p/"&amp;TEXT(INDEX('Notes and sources'!$C$7:$D$7,1,'Start here'!$C$11)*100,"0")&amp;"p")),IF(H12="Motorcycle",TEXT(INDEX('Notes and sources'!$C$8:$D$8,1,'Start here'!$C$11)*100,"0")&amp;"p",IF(H12="Bicycle",TEXT(INDEX('Notes and sources'!$C$9:$D$9,1,'Start here'!$C$11)*100,"0")&amp;"p",""))))</f>
        <v/>
      </c>
      <c r="K12" s="26" t="str">
        <f aca="false">IF(F12="","",ROUND(IF(H12="Car or van",N12*INDEX('Notes and sources'!$C$6:$D$6,1,'Start here'!$C$11)+O12*INDEX('Notes and sources'!$C$7:$D$7,1,'Start here'!$C$11)+N(G12)*N(F12)*INDEX('Notes and sources'!$C$10:$D$10,1,'Start here'!$C$11),IF(H12="Motorcycle",N(F12)*INDEX('Notes and sources'!$C$8:$D$8,1,'Start here'!$C$11),IF(H12="Bicycle",N(F12)*INDEX('Notes and sources'!$C$9:$D$9,1,'Start here'!$C$11),0))),2))</f>
        <v/>
      </c>
      <c r="L12" s="27"/>
      <c r="N12" s="2" t="n">
        <f aca="false">IF(I12="",0,MAX(0,MIN(N(F12),INDEX('Notes and sources'!$C$12:$D$12,1,'Start here'!$C$11)-(I12-N(F12)))))</f>
        <v>0</v>
      </c>
      <c r="O12" s="2" t="n">
        <f aca="false">IF(I12="",0,N(F12)-N12)</f>
        <v>0</v>
      </c>
      <c r="P12" s="2" t="str">
        <f aca="false">IF(A12="","",IF(AND(MONTH(A12)=4,DAY(A12)&lt;6),13,MOD(MONTH(A12)-4,12)+1))</f>
        <v/>
      </c>
      <c r="R12" s="9" t="s">
        <v>70</v>
      </c>
      <c r="S12" s="9"/>
    </row>
    <row r="13" customFormat="false" ht="15" hidden="false" customHeight="false" outlineLevel="0" collapsed="false">
      <c r="A13" s="21"/>
      <c r="B13" s="6"/>
      <c r="C13" s="6"/>
      <c r="D13" s="6"/>
      <c r="E13" s="6"/>
      <c r="F13" s="22"/>
      <c r="G13" s="23"/>
      <c r="H13" s="24" t="str">
        <f aca="false">IF(B13="","",IFERROR(INDEX('Start here'!$C$16:$C$20,MATCH(B13,'Start here'!$B$16:$B$20,0)),"Check vehicle"))</f>
        <v/>
      </c>
      <c r="I13" s="25" t="str">
        <f aca="false">IF(OR(F13="",H13&lt;&gt;"Car or van"),"",SUMIFS($F$6:F13,$H$6:H13,"Car or van"))</f>
        <v/>
      </c>
      <c r="J13" s="24" t="str">
        <f aca="false">IF(F13="","",IF(H13="Car or van",IF(O13=0,TEXT(INDEX('Notes and sources'!$C$6:$D$6,1,'Start here'!$C$11)*100,"0")&amp;"p",IF(N13=0,TEXT(INDEX('Notes and sources'!$C$7:$D$7,1,'Start here'!$C$11)*100,"0")&amp;"p",TEXT(INDEX('Notes and sources'!$C$6:$D$6,1,'Start here'!$C$11)*100,"0")&amp;"p/"&amp;TEXT(INDEX('Notes and sources'!$C$7:$D$7,1,'Start here'!$C$11)*100,"0")&amp;"p")),IF(H13="Motorcycle",TEXT(INDEX('Notes and sources'!$C$8:$D$8,1,'Start here'!$C$11)*100,"0")&amp;"p",IF(H13="Bicycle",TEXT(INDEX('Notes and sources'!$C$9:$D$9,1,'Start here'!$C$11)*100,"0")&amp;"p",""))))</f>
        <v/>
      </c>
      <c r="K13" s="26" t="str">
        <f aca="false">IF(F13="","",ROUND(IF(H13="Car or van",N13*INDEX('Notes and sources'!$C$6:$D$6,1,'Start here'!$C$11)+O13*INDEX('Notes and sources'!$C$7:$D$7,1,'Start here'!$C$11)+N(G13)*N(F13)*INDEX('Notes and sources'!$C$10:$D$10,1,'Start here'!$C$11),IF(H13="Motorcycle",N(F13)*INDEX('Notes and sources'!$C$8:$D$8,1,'Start here'!$C$11),IF(H13="Bicycle",N(F13)*INDEX('Notes and sources'!$C$9:$D$9,1,'Start here'!$C$11),0))),2))</f>
        <v/>
      </c>
      <c r="L13" s="27"/>
      <c r="N13" s="2" t="n">
        <f aca="false">IF(I13="",0,MAX(0,MIN(N(F13),INDEX('Notes and sources'!$C$12:$D$12,1,'Start here'!$C$11)-(I13-N(F13)))))</f>
        <v>0</v>
      </c>
      <c r="O13" s="2" t="n">
        <f aca="false">IF(I13="",0,N(F13)-N13)</f>
        <v>0</v>
      </c>
      <c r="P13" s="2" t="str">
        <f aca="false">IF(A13="","",IF(AND(MONTH(A13)=4,DAY(A13)&lt;6),13,MOD(MONTH(A13)-4,12)+1))</f>
        <v/>
      </c>
      <c r="R13" s="9"/>
      <c r="S13" s="9"/>
    </row>
    <row r="14" customFormat="false" ht="15" hidden="false" customHeight="false" outlineLevel="0" collapsed="false">
      <c r="A14" s="21"/>
      <c r="B14" s="6"/>
      <c r="C14" s="6"/>
      <c r="D14" s="6"/>
      <c r="E14" s="6"/>
      <c r="F14" s="22"/>
      <c r="G14" s="23"/>
      <c r="H14" s="24" t="str">
        <f aca="false">IF(B14="","",IFERROR(INDEX('Start here'!$C$16:$C$20,MATCH(B14,'Start here'!$B$16:$B$20,0)),"Check vehicle"))</f>
        <v/>
      </c>
      <c r="I14" s="25" t="str">
        <f aca="false">IF(OR(F14="",H14&lt;&gt;"Car or van"),"",SUMIFS($F$6:F14,$H$6:H14,"Car or van"))</f>
        <v/>
      </c>
      <c r="J14" s="24" t="str">
        <f aca="false">IF(F14="","",IF(H14="Car or van",IF(O14=0,TEXT(INDEX('Notes and sources'!$C$6:$D$6,1,'Start here'!$C$11)*100,"0")&amp;"p",IF(N14=0,TEXT(INDEX('Notes and sources'!$C$7:$D$7,1,'Start here'!$C$11)*100,"0")&amp;"p",TEXT(INDEX('Notes and sources'!$C$6:$D$6,1,'Start here'!$C$11)*100,"0")&amp;"p/"&amp;TEXT(INDEX('Notes and sources'!$C$7:$D$7,1,'Start here'!$C$11)*100,"0")&amp;"p")),IF(H14="Motorcycle",TEXT(INDEX('Notes and sources'!$C$8:$D$8,1,'Start here'!$C$11)*100,"0")&amp;"p",IF(H14="Bicycle",TEXT(INDEX('Notes and sources'!$C$9:$D$9,1,'Start here'!$C$11)*100,"0")&amp;"p",""))))</f>
        <v/>
      </c>
      <c r="K14" s="26" t="str">
        <f aca="false">IF(F14="","",ROUND(IF(H14="Car or van",N14*INDEX('Notes and sources'!$C$6:$D$6,1,'Start here'!$C$11)+O14*INDEX('Notes and sources'!$C$7:$D$7,1,'Start here'!$C$11)+N(G14)*N(F14)*INDEX('Notes and sources'!$C$10:$D$10,1,'Start here'!$C$11),IF(H14="Motorcycle",N(F14)*INDEX('Notes and sources'!$C$8:$D$8,1,'Start here'!$C$11),IF(H14="Bicycle",N(F14)*INDEX('Notes and sources'!$C$9:$D$9,1,'Start here'!$C$11),0))),2))</f>
        <v/>
      </c>
      <c r="L14" s="27"/>
      <c r="N14" s="2" t="n">
        <f aca="false">IF(I14="",0,MAX(0,MIN(N(F14),INDEX('Notes and sources'!$C$12:$D$12,1,'Start here'!$C$11)-(I14-N(F14)))))</f>
        <v>0</v>
      </c>
      <c r="O14" s="2" t="n">
        <f aca="false">IF(I14="",0,N(F14)-N14)</f>
        <v>0</v>
      </c>
      <c r="P14" s="2" t="str">
        <f aca="false">IF(A14="","",IF(AND(MONTH(A14)=4,DAY(A14)&lt;6),13,MOD(MONTH(A14)-4,12)+1))</f>
        <v/>
      </c>
      <c r="R14" s="9"/>
      <c r="S14" s="9"/>
    </row>
    <row r="15" customFormat="false" ht="15" hidden="false" customHeight="false" outlineLevel="0" collapsed="false">
      <c r="A15" s="21"/>
      <c r="B15" s="6"/>
      <c r="C15" s="6"/>
      <c r="D15" s="6"/>
      <c r="E15" s="6"/>
      <c r="F15" s="22"/>
      <c r="G15" s="23"/>
      <c r="H15" s="24" t="str">
        <f aca="false">IF(B15="","",IFERROR(INDEX('Start here'!$C$16:$C$20,MATCH(B15,'Start here'!$B$16:$B$20,0)),"Check vehicle"))</f>
        <v/>
      </c>
      <c r="I15" s="25" t="str">
        <f aca="false">IF(OR(F15="",H15&lt;&gt;"Car or van"),"",SUMIFS($F$6:F15,$H$6:H15,"Car or van"))</f>
        <v/>
      </c>
      <c r="J15" s="24" t="str">
        <f aca="false">IF(F15="","",IF(H15="Car or van",IF(O15=0,TEXT(INDEX('Notes and sources'!$C$6:$D$6,1,'Start here'!$C$11)*100,"0")&amp;"p",IF(N15=0,TEXT(INDEX('Notes and sources'!$C$7:$D$7,1,'Start here'!$C$11)*100,"0")&amp;"p",TEXT(INDEX('Notes and sources'!$C$6:$D$6,1,'Start here'!$C$11)*100,"0")&amp;"p/"&amp;TEXT(INDEX('Notes and sources'!$C$7:$D$7,1,'Start here'!$C$11)*100,"0")&amp;"p")),IF(H15="Motorcycle",TEXT(INDEX('Notes and sources'!$C$8:$D$8,1,'Start here'!$C$11)*100,"0")&amp;"p",IF(H15="Bicycle",TEXT(INDEX('Notes and sources'!$C$9:$D$9,1,'Start here'!$C$11)*100,"0")&amp;"p",""))))</f>
        <v/>
      </c>
      <c r="K15" s="26" t="str">
        <f aca="false">IF(F15="","",ROUND(IF(H15="Car or van",N15*INDEX('Notes and sources'!$C$6:$D$6,1,'Start here'!$C$11)+O15*INDEX('Notes and sources'!$C$7:$D$7,1,'Start here'!$C$11)+N(G15)*N(F15)*INDEX('Notes and sources'!$C$10:$D$10,1,'Start here'!$C$11),IF(H15="Motorcycle",N(F15)*INDEX('Notes and sources'!$C$8:$D$8,1,'Start here'!$C$11),IF(H15="Bicycle",N(F15)*INDEX('Notes and sources'!$C$9:$D$9,1,'Start here'!$C$11),0))),2))</f>
        <v/>
      </c>
      <c r="L15" s="27"/>
      <c r="N15" s="2" t="n">
        <f aca="false">IF(I15="",0,MAX(0,MIN(N(F15),INDEX('Notes and sources'!$C$12:$D$12,1,'Start here'!$C$11)-(I15-N(F15)))))</f>
        <v>0</v>
      </c>
      <c r="O15" s="2" t="n">
        <f aca="false">IF(I15="",0,N(F15)-N15)</f>
        <v>0</v>
      </c>
      <c r="P15" s="2" t="str">
        <f aca="false">IF(A15="","",IF(AND(MONTH(A15)=4,DAY(A15)&lt;6),13,MOD(MONTH(A15)-4,12)+1))</f>
        <v/>
      </c>
      <c r="R15" s="28" t="s">
        <v>71</v>
      </c>
    </row>
    <row r="16" customFormat="false" ht="15" hidden="false" customHeight="false" outlineLevel="0" collapsed="false">
      <c r="A16" s="21"/>
      <c r="B16" s="6"/>
      <c r="C16" s="6"/>
      <c r="D16" s="6"/>
      <c r="E16" s="6"/>
      <c r="F16" s="22"/>
      <c r="G16" s="23"/>
      <c r="H16" s="24" t="str">
        <f aca="false">IF(B16="","",IFERROR(INDEX('Start here'!$C$16:$C$20,MATCH(B16,'Start here'!$B$16:$B$20,0)),"Check vehicle"))</f>
        <v/>
      </c>
      <c r="I16" s="25" t="str">
        <f aca="false">IF(OR(F16="",H16&lt;&gt;"Car or van"),"",SUMIFS($F$6:F16,$H$6:H16,"Car or van"))</f>
        <v/>
      </c>
      <c r="J16" s="24" t="str">
        <f aca="false">IF(F16="","",IF(H16="Car or van",IF(O16=0,TEXT(INDEX('Notes and sources'!$C$6:$D$6,1,'Start here'!$C$11)*100,"0")&amp;"p",IF(N16=0,TEXT(INDEX('Notes and sources'!$C$7:$D$7,1,'Start here'!$C$11)*100,"0")&amp;"p",TEXT(INDEX('Notes and sources'!$C$6:$D$6,1,'Start here'!$C$11)*100,"0")&amp;"p/"&amp;TEXT(INDEX('Notes and sources'!$C$7:$D$7,1,'Start here'!$C$11)*100,"0")&amp;"p")),IF(H16="Motorcycle",TEXT(INDEX('Notes and sources'!$C$8:$D$8,1,'Start here'!$C$11)*100,"0")&amp;"p",IF(H16="Bicycle",TEXT(INDEX('Notes and sources'!$C$9:$D$9,1,'Start here'!$C$11)*100,"0")&amp;"p",""))))</f>
        <v/>
      </c>
      <c r="K16" s="26" t="str">
        <f aca="false">IF(F16="","",ROUND(IF(H16="Car or van",N16*INDEX('Notes and sources'!$C$6:$D$6,1,'Start here'!$C$11)+O16*INDEX('Notes and sources'!$C$7:$D$7,1,'Start here'!$C$11)+N(G16)*N(F16)*INDEX('Notes and sources'!$C$10:$D$10,1,'Start here'!$C$11),IF(H16="Motorcycle",N(F16)*INDEX('Notes and sources'!$C$8:$D$8,1,'Start here'!$C$11),IF(H16="Bicycle",N(F16)*INDEX('Notes and sources'!$C$9:$D$9,1,'Start here'!$C$11),0))),2))</f>
        <v/>
      </c>
      <c r="L16" s="27"/>
      <c r="N16" s="2" t="n">
        <f aca="false">IF(I16="",0,MAX(0,MIN(N(F16),INDEX('Notes and sources'!$C$12:$D$12,1,'Start here'!$C$11)-(I16-N(F16)))))</f>
        <v>0</v>
      </c>
      <c r="O16" s="2" t="n">
        <f aca="false">IF(I16="",0,N(F16)-N16)</f>
        <v>0</v>
      </c>
      <c r="P16" s="2" t="str">
        <f aca="false">IF(A16="","",IF(AND(MONTH(A16)=4,DAY(A16)&lt;6),13,MOD(MONTH(A16)-4,12)+1))</f>
        <v/>
      </c>
    </row>
    <row r="17" customFormat="false" ht="15" hidden="false" customHeight="false" outlineLevel="0" collapsed="false">
      <c r="A17" s="21"/>
      <c r="B17" s="6"/>
      <c r="C17" s="6"/>
      <c r="D17" s="6"/>
      <c r="E17" s="6"/>
      <c r="F17" s="22"/>
      <c r="G17" s="23"/>
      <c r="H17" s="24" t="str">
        <f aca="false">IF(B17="","",IFERROR(INDEX('Start here'!$C$16:$C$20,MATCH(B17,'Start here'!$B$16:$B$20,0)),"Check vehicle"))</f>
        <v/>
      </c>
      <c r="I17" s="25" t="str">
        <f aca="false">IF(OR(F17="",H17&lt;&gt;"Car or van"),"",SUMIFS($F$6:F17,$H$6:H17,"Car or van"))</f>
        <v/>
      </c>
      <c r="J17" s="24" t="str">
        <f aca="false">IF(F17="","",IF(H17="Car or van",IF(O17=0,TEXT(INDEX('Notes and sources'!$C$6:$D$6,1,'Start here'!$C$11)*100,"0")&amp;"p",IF(N17=0,TEXT(INDEX('Notes and sources'!$C$7:$D$7,1,'Start here'!$C$11)*100,"0")&amp;"p",TEXT(INDEX('Notes and sources'!$C$6:$D$6,1,'Start here'!$C$11)*100,"0")&amp;"p/"&amp;TEXT(INDEX('Notes and sources'!$C$7:$D$7,1,'Start here'!$C$11)*100,"0")&amp;"p")),IF(H17="Motorcycle",TEXT(INDEX('Notes and sources'!$C$8:$D$8,1,'Start here'!$C$11)*100,"0")&amp;"p",IF(H17="Bicycle",TEXT(INDEX('Notes and sources'!$C$9:$D$9,1,'Start here'!$C$11)*100,"0")&amp;"p",""))))</f>
        <v/>
      </c>
      <c r="K17" s="26" t="str">
        <f aca="false">IF(F17="","",ROUND(IF(H17="Car or van",N17*INDEX('Notes and sources'!$C$6:$D$6,1,'Start here'!$C$11)+O17*INDEX('Notes and sources'!$C$7:$D$7,1,'Start here'!$C$11)+N(G17)*N(F17)*INDEX('Notes and sources'!$C$10:$D$10,1,'Start here'!$C$11),IF(H17="Motorcycle",N(F17)*INDEX('Notes and sources'!$C$8:$D$8,1,'Start here'!$C$11),IF(H17="Bicycle",N(F17)*INDEX('Notes and sources'!$C$9:$D$9,1,'Start here'!$C$11),0))),2))</f>
        <v/>
      </c>
      <c r="L17" s="27"/>
      <c r="N17" s="2" t="n">
        <f aca="false">IF(I17="",0,MAX(0,MIN(N(F17),INDEX('Notes and sources'!$C$12:$D$12,1,'Start here'!$C$11)-(I17-N(F17)))))</f>
        <v>0</v>
      </c>
      <c r="O17" s="2" t="n">
        <f aca="false">IF(I17="",0,N(F17)-N17)</f>
        <v>0</v>
      </c>
      <c r="P17" s="2" t="str">
        <f aca="false">IF(A17="","",IF(AND(MONTH(A17)=4,DAY(A17)&lt;6),13,MOD(MONTH(A17)-4,12)+1))</f>
        <v/>
      </c>
      <c r="R17" s="14" t="s">
        <v>72</v>
      </c>
    </row>
    <row r="18" customFormat="false" ht="15" hidden="false" customHeight="true" outlineLevel="0" collapsed="false">
      <c r="A18" s="21"/>
      <c r="B18" s="6"/>
      <c r="C18" s="6"/>
      <c r="D18" s="6"/>
      <c r="E18" s="6"/>
      <c r="F18" s="22"/>
      <c r="G18" s="23"/>
      <c r="H18" s="24" t="str">
        <f aca="false">IF(B18="","",IFERROR(INDEX('Start here'!$C$16:$C$20,MATCH(B18,'Start here'!$B$16:$B$20,0)),"Check vehicle"))</f>
        <v/>
      </c>
      <c r="I18" s="25" t="str">
        <f aca="false">IF(OR(F18="",H18&lt;&gt;"Car or van"),"",SUMIFS($F$6:F18,$H$6:H18,"Car or van"))</f>
        <v/>
      </c>
      <c r="J18" s="24" t="str">
        <f aca="false">IF(F18="","",IF(H18="Car or van",IF(O18=0,TEXT(INDEX('Notes and sources'!$C$6:$D$6,1,'Start here'!$C$11)*100,"0")&amp;"p",IF(N18=0,TEXT(INDEX('Notes and sources'!$C$7:$D$7,1,'Start here'!$C$11)*100,"0")&amp;"p",TEXT(INDEX('Notes and sources'!$C$6:$D$6,1,'Start here'!$C$11)*100,"0")&amp;"p/"&amp;TEXT(INDEX('Notes and sources'!$C$7:$D$7,1,'Start here'!$C$11)*100,"0")&amp;"p")),IF(H18="Motorcycle",TEXT(INDEX('Notes and sources'!$C$8:$D$8,1,'Start here'!$C$11)*100,"0")&amp;"p",IF(H18="Bicycle",TEXT(INDEX('Notes and sources'!$C$9:$D$9,1,'Start here'!$C$11)*100,"0")&amp;"p",""))))</f>
        <v/>
      </c>
      <c r="K18" s="26" t="str">
        <f aca="false">IF(F18="","",ROUND(IF(H18="Car or van",N18*INDEX('Notes and sources'!$C$6:$D$6,1,'Start here'!$C$11)+O18*INDEX('Notes and sources'!$C$7:$D$7,1,'Start here'!$C$11)+N(G18)*N(F18)*INDEX('Notes and sources'!$C$10:$D$10,1,'Start here'!$C$11),IF(H18="Motorcycle",N(F18)*INDEX('Notes and sources'!$C$8:$D$8,1,'Start here'!$C$11),IF(H18="Bicycle",N(F18)*INDEX('Notes and sources'!$C$9:$D$9,1,'Start here'!$C$11),0))),2))</f>
        <v/>
      </c>
      <c r="L18" s="27"/>
      <c r="N18" s="2" t="n">
        <f aca="false">IF(I18="",0,MAX(0,MIN(N(F18),INDEX('Notes and sources'!$C$12:$D$12,1,'Start here'!$C$11)-(I18-N(F18)))))</f>
        <v>0</v>
      </c>
      <c r="O18" s="2" t="n">
        <f aca="false">IF(I18="",0,N(F18)-N18)</f>
        <v>0</v>
      </c>
      <c r="P18" s="2" t="str">
        <f aca="false">IF(A18="","",IF(AND(MONTH(A18)=4,DAY(A18)&lt;6),13,MOD(MONTH(A18)-4,12)+1))</f>
        <v/>
      </c>
      <c r="R18" s="9" t="s">
        <v>73</v>
      </c>
      <c r="S18" s="9"/>
    </row>
    <row r="19" customFormat="false" ht="15" hidden="false" customHeight="false" outlineLevel="0" collapsed="false">
      <c r="A19" s="21"/>
      <c r="B19" s="6"/>
      <c r="C19" s="6"/>
      <c r="D19" s="6"/>
      <c r="E19" s="6"/>
      <c r="F19" s="22"/>
      <c r="G19" s="23"/>
      <c r="H19" s="24" t="str">
        <f aca="false">IF(B19="","",IFERROR(INDEX('Start here'!$C$16:$C$20,MATCH(B19,'Start here'!$B$16:$B$20,0)),"Check vehicle"))</f>
        <v/>
      </c>
      <c r="I19" s="25" t="str">
        <f aca="false">IF(OR(F19="",H19&lt;&gt;"Car or van"),"",SUMIFS($F$6:F19,$H$6:H19,"Car or van"))</f>
        <v/>
      </c>
      <c r="J19" s="24" t="str">
        <f aca="false">IF(F19="","",IF(H19="Car or van",IF(O19=0,TEXT(INDEX('Notes and sources'!$C$6:$D$6,1,'Start here'!$C$11)*100,"0")&amp;"p",IF(N19=0,TEXT(INDEX('Notes and sources'!$C$7:$D$7,1,'Start here'!$C$11)*100,"0")&amp;"p",TEXT(INDEX('Notes and sources'!$C$6:$D$6,1,'Start here'!$C$11)*100,"0")&amp;"p/"&amp;TEXT(INDEX('Notes and sources'!$C$7:$D$7,1,'Start here'!$C$11)*100,"0")&amp;"p")),IF(H19="Motorcycle",TEXT(INDEX('Notes and sources'!$C$8:$D$8,1,'Start here'!$C$11)*100,"0")&amp;"p",IF(H19="Bicycle",TEXT(INDEX('Notes and sources'!$C$9:$D$9,1,'Start here'!$C$11)*100,"0")&amp;"p",""))))</f>
        <v/>
      </c>
      <c r="K19" s="26" t="str">
        <f aca="false">IF(F19="","",ROUND(IF(H19="Car or van",N19*INDEX('Notes and sources'!$C$6:$D$6,1,'Start here'!$C$11)+O19*INDEX('Notes and sources'!$C$7:$D$7,1,'Start here'!$C$11)+N(G19)*N(F19)*INDEX('Notes and sources'!$C$10:$D$10,1,'Start here'!$C$11),IF(H19="Motorcycle",N(F19)*INDEX('Notes and sources'!$C$8:$D$8,1,'Start here'!$C$11),IF(H19="Bicycle",N(F19)*INDEX('Notes and sources'!$C$9:$D$9,1,'Start here'!$C$11),0))),2))</f>
        <v/>
      </c>
      <c r="L19" s="27"/>
      <c r="N19" s="2" t="n">
        <f aca="false">IF(I19="",0,MAX(0,MIN(N(F19),INDEX('Notes and sources'!$C$12:$D$12,1,'Start here'!$C$11)-(I19-N(F19)))))</f>
        <v>0</v>
      </c>
      <c r="O19" s="2" t="n">
        <f aca="false">IF(I19="",0,N(F19)-N19)</f>
        <v>0</v>
      </c>
      <c r="P19" s="2" t="str">
        <f aca="false">IF(A19="","",IF(AND(MONTH(A19)=4,DAY(A19)&lt;6),13,MOD(MONTH(A19)-4,12)+1))</f>
        <v/>
      </c>
      <c r="R19" s="9"/>
      <c r="S19" s="9"/>
    </row>
    <row r="20" customFormat="false" ht="15" hidden="false" customHeight="false" outlineLevel="0" collapsed="false">
      <c r="A20" s="21"/>
      <c r="B20" s="6"/>
      <c r="C20" s="6"/>
      <c r="D20" s="6"/>
      <c r="E20" s="6"/>
      <c r="F20" s="22"/>
      <c r="G20" s="23"/>
      <c r="H20" s="24" t="str">
        <f aca="false">IF(B20="","",IFERROR(INDEX('Start here'!$C$16:$C$20,MATCH(B20,'Start here'!$B$16:$B$20,0)),"Check vehicle"))</f>
        <v/>
      </c>
      <c r="I20" s="25" t="str">
        <f aca="false">IF(OR(F20="",H20&lt;&gt;"Car or van"),"",SUMIFS($F$6:F20,$H$6:H20,"Car or van"))</f>
        <v/>
      </c>
      <c r="J20" s="24" t="str">
        <f aca="false">IF(F20="","",IF(H20="Car or van",IF(O20=0,TEXT(INDEX('Notes and sources'!$C$6:$D$6,1,'Start here'!$C$11)*100,"0")&amp;"p",IF(N20=0,TEXT(INDEX('Notes and sources'!$C$7:$D$7,1,'Start here'!$C$11)*100,"0")&amp;"p",TEXT(INDEX('Notes and sources'!$C$6:$D$6,1,'Start here'!$C$11)*100,"0")&amp;"p/"&amp;TEXT(INDEX('Notes and sources'!$C$7:$D$7,1,'Start here'!$C$11)*100,"0")&amp;"p")),IF(H20="Motorcycle",TEXT(INDEX('Notes and sources'!$C$8:$D$8,1,'Start here'!$C$11)*100,"0")&amp;"p",IF(H20="Bicycle",TEXT(INDEX('Notes and sources'!$C$9:$D$9,1,'Start here'!$C$11)*100,"0")&amp;"p",""))))</f>
        <v/>
      </c>
      <c r="K20" s="26" t="str">
        <f aca="false">IF(F20="","",ROUND(IF(H20="Car or van",N20*INDEX('Notes and sources'!$C$6:$D$6,1,'Start here'!$C$11)+O20*INDEX('Notes and sources'!$C$7:$D$7,1,'Start here'!$C$11)+N(G20)*N(F20)*INDEX('Notes and sources'!$C$10:$D$10,1,'Start here'!$C$11),IF(H20="Motorcycle",N(F20)*INDEX('Notes and sources'!$C$8:$D$8,1,'Start here'!$C$11),IF(H20="Bicycle",N(F20)*INDEX('Notes and sources'!$C$9:$D$9,1,'Start here'!$C$11),0))),2))</f>
        <v/>
      </c>
      <c r="L20" s="27"/>
      <c r="N20" s="2" t="n">
        <f aca="false">IF(I20="",0,MAX(0,MIN(N(F20),INDEX('Notes and sources'!$C$12:$D$12,1,'Start here'!$C$11)-(I20-N(F20)))))</f>
        <v>0</v>
      </c>
      <c r="O20" s="2" t="n">
        <f aca="false">IF(I20="",0,N(F20)-N20)</f>
        <v>0</v>
      </c>
      <c r="P20" s="2" t="str">
        <f aca="false">IF(A20="","",IF(AND(MONTH(A20)=4,DAY(A20)&lt;6),13,MOD(MONTH(A20)-4,12)+1))</f>
        <v/>
      </c>
      <c r="R20" s="9"/>
      <c r="S20" s="9"/>
    </row>
    <row r="21" customFormat="false" ht="15" hidden="false" customHeight="false" outlineLevel="0" collapsed="false">
      <c r="A21" s="21"/>
      <c r="B21" s="6"/>
      <c r="C21" s="6"/>
      <c r="D21" s="6"/>
      <c r="E21" s="6"/>
      <c r="F21" s="22"/>
      <c r="G21" s="23"/>
      <c r="H21" s="24" t="str">
        <f aca="false">IF(B21="","",IFERROR(INDEX('Start here'!$C$16:$C$20,MATCH(B21,'Start here'!$B$16:$B$20,0)),"Check vehicle"))</f>
        <v/>
      </c>
      <c r="I21" s="25" t="str">
        <f aca="false">IF(OR(F21="",H21&lt;&gt;"Car or van"),"",SUMIFS($F$6:F21,$H$6:H21,"Car or van"))</f>
        <v/>
      </c>
      <c r="J21" s="24" t="str">
        <f aca="false">IF(F21="","",IF(H21="Car or van",IF(O21=0,TEXT(INDEX('Notes and sources'!$C$6:$D$6,1,'Start here'!$C$11)*100,"0")&amp;"p",IF(N21=0,TEXT(INDEX('Notes and sources'!$C$7:$D$7,1,'Start here'!$C$11)*100,"0")&amp;"p",TEXT(INDEX('Notes and sources'!$C$6:$D$6,1,'Start here'!$C$11)*100,"0")&amp;"p/"&amp;TEXT(INDEX('Notes and sources'!$C$7:$D$7,1,'Start here'!$C$11)*100,"0")&amp;"p")),IF(H21="Motorcycle",TEXT(INDEX('Notes and sources'!$C$8:$D$8,1,'Start here'!$C$11)*100,"0")&amp;"p",IF(H21="Bicycle",TEXT(INDEX('Notes and sources'!$C$9:$D$9,1,'Start here'!$C$11)*100,"0")&amp;"p",""))))</f>
        <v/>
      </c>
      <c r="K21" s="26" t="str">
        <f aca="false">IF(F21="","",ROUND(IF(H21="Car or van",N21*INDEX('Notes and sources'!$C$6:$D$6,1,'Start here'!$C$11)+O21*INDEX('Notes and sources'!$C$7:$D$7,1,'Start here'!$C$11)+N(G21)*N(F21)*INDEX('Notes and sources'!$C$10:$D$10,1,'Start here'!$C$11),IF(H21="Motorcycle",N(F21)*INDEX('Notes and sources'!$C$8:$D$8,1,'Start here'!$C$11),IF(H21="Bicycle",N(F21)*INDEX('Notes and sources'!$C$9:$D$9,1,'Start here'!$C$11),0))),2))</f>
        <v/>
      </c>
      <c r="L21" s="27"/>
      <c r="N21" s="2" t="n">
        <f aca="false">IF(I21="",0,MAX(0,MIN(N(F21),INDEX('Notes and sources'!$C$12:$D$12,1,'Start here'!$C$11)-(I21-N(F21)))))</f>
        <v>0</v>
      </c>
      <c r="O21" s="2" t="n">
        <f aca="false">IF(I21="",0,N(F21)-N21)</f>
        <v>0</v>
      </c>
      <c r="P21" s="2" t="str">
        <f aca="false">IF(A21="","",IF(AND(MONTH(A21)=4,DAY(A21)&lt;6),13,MOD(MONTH(A21)-4,12)+1))</f>
        <v/>
      </c>
    </row>
    <row r="22" customFormat="false" ht="15" hidden="false" customHeight="false" outlineLevel="0" collapsed="false">
      <c r="A22" s="21"/>
      <c r="B22" s="6"/>
      <c r="C22" s="6"/>
      <c r="D22" s="6"/>
      <c r="E22" s="6"/>
      <c r="F22" s="22"/>
      <c r="G22" s="23"/>
      <c r="H22" s="24" t="str">
        <f aca="false">IF(B22="","",IFERROR(INDEX('Start here'!$C$16:$C$20,MATCH(B22,'Start here'!$B$16:$B$20,0)),"Check vehicle"))</f>
        <v/>
      </c>
      <c r="I22" s="25" t="str">
        <f aca="false">IF(OR(F22="",H22&lt;&gt;"Car or van"),"",SUMIFS($F$6:F22,$H$6:H22,"Car or van"))</f>
        <v/>
      </c>
      <c r="J22" s="24" t="str">
        <f aca="false">IF(F22="","",IF(H22="Car or van",IF(O22=0,TEXT(INDEX('Notes and sources'!$C$6:$D$6,1,'Start here'!$C$11)*100,"0")&amp;"p",IF(N22=0,TEXT(INDEX('Notes and sources'!$C$7:$D$7,1,'Start here'!$C$11)*100,"0")&amp;"p",TEXT(INDEX('Notes and sources'!$C$6:$D$6,1,'Start here'!$C$11)*100,"0")&amp;"p/"&amp;TEXT(INDEX('Notes and sources'!$C$7:$D$7,1,'Start here'!$C$11)*100,"0")&amp;"p")),IF(H22="Motorcycle",TEXT(INDEX('Notes and sources'!$C$8:$D$8,1,'Start here'!$C$11)*100,"0")&amp;"p",IF(H22="Bicycle",TEXT(INDEX('Notes and sources'!$C$9:$D$9,1,'Start here'!$C$11)*100,"0")&amp;"p",""))))</f>
        <v/>
      </c>
      <c r="K22" s="26" t="str">
        <f aca="false">IF(F22="","",ROUND(IF(H22="Car or van",N22*INDEX('Notes and sources'!$C$6:$D$6,1,'Start here'!$C$11)+O22*INDEX('Notes and sources'!$C$7:$D$7,1,'Start here'!$C$11)+N(G22)*N(F22)*INDEX('Notes and sources'!$C$10:$D$10,1,'Start here'!$C$11),IF(H22="Motorcycle",N(F22)*INDEX('Notes and sources'!$C$8:$D$8,1,'Start here'!$C$11),IF(H22="Bicycle",N(F22)*INDEX('Notes and sources'!$C$9:$D$9,1,'Start here'!$C$11),0))),2))</f>
        <v/>
      </c>
      <c r="L22" s="27"/>
      <c r="N22" s="2" t="n">
        <f aca="false">IF(I22="",0,MAX(0,MIN(N(F22),INDEX('Notes and sources'!$C$12:$D$12,1,'Start here'!$C$11)-(I22-N(F22)))))</f>
        <v>0</v>
      </c>
      <c r="O22" s="2" t="n">
        <f aca="false">IF(I22="",0,N(F22)-N22)</f>
        <v>0</v>
      </c>
      <c r="P22" s="2" t="str">
        <f aca="false">IF(A22="","",IF(AND(MONTH(A22)=4,DAY(A22)&lt;6),13,MOD(MONTH(A22)-4,12)+1))</f>
        <v/>
      </c>
      <c r="R22" s="14" t="s">
        <v>74</v>
      </c>
    </row>
    <row r="23" customFormat="false" ht="15" hidden="false" customHeight="true" outlineLevel="0" collapsed="false">
      <c r="A23" s="21"/>
      <c r="B23" s="6"/>
      <c r="C23" s="6"/>
      <c r="D23" s="6"/>
      <c r="E23" s="6"/>
      <c r="F23" s="22"/>
      <c r="G23" s="23"/>
      <c r="H23" s="24" t="str">
        <f aca="false">IF(B23="","",IFERROR(INDEX('Start here'!$C$16:$C$20,MATCH(B23,'Start here'!$B$16:$B$20,0)),"Check vehicle"))</f>
        <v/>
      </c>
      <c r="I23" s="25" t="str">
        <f aca="false">IF(OR(F23="",H23&lt;&gt;"Car or van"),"",SUMIFS($F$6:F23,$H$6:H23,"Car or van"))</f>
        <v/>
      </c>
      <c r="J23" s="24" t="str">
        <f aca="false">IF(F23="","",IF(H23="Car or van",IF(O23=0,TEXT(INDEX('Notes and sources'!$C$6:$D$6,1,'Start here'!$C$11)*100,"0")&amp;"p",IF(N23=0,TEXT(INDEX('Notes and sources'!$C$7:$D$7,1,'Start here'!$C$11)*100,"0")&amp;"p",TEXT(INDEX('Notes and sources'!$C$6:$D$6,1,'Start here'!$C$11)*100,"0")&amp;"p/"&amp;TEXT(INDEX('Notes and sources'!$C$7:$D$7,1,'Start here'!$C$11)*100,"0")&amp;"p")),IF(H23="Motorcycle",TEXT(INDEX('Notes and sources'!$C$8:$D$8,1,'Start here'!$C$11)*100,"0")&amp;"p",IF(H23="Bicycle",TEXT(INDEX('Notes and sources'!$C$9:$D$9,1,'Start here'!$C$11)*100,"0")&amp;"p",""))))</f>
        <v/>
      </c>
      <c r="K23" s="26" t="str">
        <f aca="false">IF(F23="","",ROUND(IF(H23="Car or van",N23*INDEX('Notes and sources'!$C$6:$D$6,1,'Start here'!$C$11)+O23*INDEX('Notes and sources'!$C$7:$D$7,1,'Start here'!$C$11)+N(G23)*N(F23)*INDEX('Notes and sources'!$C$10:$D$10,1,'Start here'!$C$11),IF(H23="Motorcycle",N(F23)*INDEX('Notes and sources'!$C$8:$D$8,1,'Start here'!$C$11),IF(H23="Bicycle",N(F23)*INDEX('Notes and sources'!$C$9:$D$9,1,'Start here'!$C$11),0))),2))</f>
        <v/>
      </c>
      <c r="L23" s="27"/>
      <c r="N23" s="2" t="n">
        <f aca="false">IF(I23="",0,MAX(0,MIN(N(F23),INDEX('Notes and sources'!$C$12:$D$12,1,'Start here'!$C$11)-(I23-N(F23)))))</f>
        <v>0</v>
      </c>
      <c r="O23" s="2" t="n">
        <f aca="false">IF(I23="",0,N(F23)-N23)</f>
        <v>0</v>
      </c>
      <c r="P23" s="2" t="str">
        <f aca="false">IF(A23="","",IF(AND(MONTH(A23)=4,DAY(A23)&lt;6),13,MOD(MONTH(A23)-4,12)+1))</f>
        <v/>
      </c>
      <c r="R23" s="9" t="s">
        <v>75</v>
      </c>
      <c r="S23" s="9"/>
    </row>
    <row r="24" customFormat="false" ht="15" hidden="false" customHeight="false" outlineLevel="0" collapsed="false">
      <c r="A24" s="21"/>
      <c r="B24" s="6"/>
      <c r="C24" s="6"/>
      <c r="D24" s="6"/>
      <c r="E24" s="6"/>
      <c r="F24" s="22"/>
      <c r="G24" s="23"/>
      <c r="H24" s="24" t="str">
        <f aca="false">IF(B24="","",IFERROR(INDEX('Start here'!$C$16:$C$20,MATCH(B24,'Start here'!$B$16:$B$20,0)),"Check vehicle"))</f>
        <v/>
      </c>
      <c r="I24" s="25" t="str">
        <f aca="false">IF(OR(F24="",H24&lt;&gt;"Car or van"),"",SUMIFS($F$6:F24,$H$6:H24,"Car or van"))</f>
        <v/>
      </c>
      <c r="J24" s="24" t="str">
        <f aca="false">IF(F24="","",IF(H24="Car or van",IF(O24=0,TEXT(INDEX('Notes and sources'!$C$6:$D$6,1,'Start here'!$C$11)*100,"0")&amp;"p",IF(N24=0,TEXT(INDEX('Notes and sources'!$C$7:$D$7,1,'Start here'!$C$11)*100,"0")&amp;"p",TEXT(INDEX('Notes and sources'!$C$6:$D$6,1,'Start here'!$C$11)*100,"0")&amp;"p/"&amp;TEXT(INDEX('Notes and sources'!$C$7:$D$7,1,'Start here'!$C$11)*100,"0")&amp;"p")),IF(H24="Motorcycle",TEXT(INDEX('Notes and sources'!$C$8:$D$8,1,'Start here'!$C$11)*100,"0")&amp;"p",IF(H24="Bicycle",TEXT(INDEX('Notes and sources'!$C$9:$D$9,1,'Start here'!$C$11)*100,"0")&amp;"p",""))))</f>
        <v/>
      </c>
      <c r="K24" s="26" t="str">
        <f aca="false">IF(F24="","",ROUND(IF(H24="Car or van",N24*INDEX('Notes and sources'!$C$6:$D$6,1,'Start here'!$C$11)+O24*INDEX('Notes and sources'!$C$7:$D$7,1,'Start here'!$C$11)+N(G24)*N(F24)*INDEX('Notes and sources'!$C$10:$D$10,1,'Start here'!$C$11),IF(H24="Motorcycle",N(F24)*INDEX('Notes and sources'!$C$8:$D$8,1,'Start here'!$C$11),IF(H24="Bicycle",N(F24)*INDEX('Notes and sources'!$C$9:$D$9,1,'Start here'!$C$11),0))),2))</f>
        <v/>
      </c>
      <c r="L24" s="27"/>
      <c r="N24" s="2" t="n">
        <f aca="false">IF(I24="",0,MAX(0,MIN(N(F24),INDEX('Notes and sources'!$C$12:$D$12,1,'Start here'!$C$11)-(I24-N(F24)))))</f>
        <v>0</v>
      </c>
      <c r="O24" s="2" t="n">
        <f aca="false">IF(I24="",0,N(F24)-N24)</f>
        <v>0</v>
      </c>
      <c r="P24" s="2" t="str">
        <f aca="false">IF(A24="","",IF(AND(MONTH(A24)=4,DAY(A24)&lt;6),13,MOD(MONTH(A24)-4,12)+1))</f>
        <v/>
      </c>
      <c r="R24" s="9"/>
      <c r="S24" s="9"/>
    </row>
    <row r="25" customFormat="false" ht="15" hidden="false" customHeight="false" outlineLevel="0" collapsed="false">
      <c r="A25" s="21"/>
      <c r="B25" s="6"/>
      <c r="C25" s="6"/>
      <c r="D25" s="6"/>
      <c r="E25" s="6"/>
      <c r="F25" s="22"/>
      <c r="G25" s="23"/>
      <c r="H25" s="24" t="str">
        <f aca="false">IF(B25="","",IFERROR(INDEX('Start here'!$C$16:$C$20,MATCH(B25,'Start here'!$B$16:$B$20,0)),"Check vehicle"))</f>
        <v/>
      </c>
      <c r="I25" s="25" t="str">
        <f aca="false">IF(OR(F25="",H25&lt;&gt;"Car or van"),"",SUMIFS($F$6:F25,$H$6:H25,"Car or van"))</f>
        <v/>
      </c>
      <c r="J25" s="24" t="str">
        <f aca="false">IF(F25="","",IF(H25="Car or van",IF(O25=0,TEXT(INDEX('Notes and sources'!$C$6:$D$6,1,'Start here'!$C$11)*100,"0")&amp;"p",IF(N25=0,TEXT(INDEX('Notes and sources'!$C$7:$D$7,1,'Start here'!$C$11)*100,"0")&amp;"p",TEXT(INDEX('Notes and sources'!$C$6:$D$6,1,'Start here'!$C$11)*100,"0")&amp;"p/"&amp;TEXT(INDEX('Notes and sources'!$C$7:$D$7,1,'Start here'!$C$11)*100,"0")&amp;"p")),IF(H25="Motorcycle",TEXT(INDEX('Notes and sources'!$C$8:$D$8,1,'Start here'!$C$11)*100,"0")&amp;"p",IF(H25="Bicycle",TEXT(INDEX('Notes and sources'!$C$9:$D$9,1,'Start here'!$C$11)*100,"0")&amp;"p",""))))</f>
        <v/>
      </c>
      <c r="K25" s="26" t="str">
        <f aca="false">IF(F25="","",ROUND(IF(H25="Car or van",N25*INDEX('Notes and sources'!$C$6:$D$6,1,'Start here'!$C$11)+O25*INDEX('Notes and sources'!$C$7:$D$7,1,'Start here'!$C$11)+N(G25)*N(F25)*INDEX('Notes and sources'!$C$10:$D$10,1,'Start here'!$C$11),IF(H25="Motorcycle",N(F25)*INDEX('Notes and sources'!$C$8:$D$8,1,'Start here'!$C$11),IF(H25="Bicycle",N(F25)*INDEX('Notes and sources'!$C$9:$D$9,1,'Start here'!$C$11),0))),2))</f>
        <v/>
      </c>
      <c r="L25" s="27"/>
      <c r="N25" s="2" t="n">
        <f aca="false">IF(I25="",0,MAX(0,MIN(N(F25),INDEX('Notes and sources'!$C$12:$D$12,1,'Start here'!$C$11)-(I25-N(F25)))))</f>
        <v>0</v>
      </c>
      <c r="O25" s="2" t="n">
        <f aca="false">IF(I25="",0,N(F25)-N25)</f>
        <v>0</v>
      </c>
      <c r="P25" s="2" t="str">
        <f aca="false">IF(A25="","",IF(AND(MONTH(A25)=4,DAY(A25)&lt;6),13,MOD(MONTH(A25)-4,12)+1))</f>
        <v/>
      </c>
      <c r="R25" s="9"/>
      <c r="S25" s="9"/>
    </row>
    <row r="26" customFormat="false" ht="15" hidden="false" customHeight="false" outlineLevel="0" collapsed="false">
      <c r="A26" s="21"/>
      <c r="B26" s="6"/>
      <c r="C26" s="6"/>
      <c r="D26" s="6"/>
      <c r="E26" s="6"/>
      <c r="F26" s="22"/>
      <c r="G26" s="23"/>
      <c r="H26" s="24" t="str">
        <f aca="false">IF(B26="","",IFERROR(INDEX('Start here'!$C$16:$C$20,MATCH(B26,'Start here'!$B$16:$B$20,0)),"Check vehicle"))</f>
        <v/>
      </c>
      <c r="I26" s="25" t="str">
        <f aca="false">IF(OR(F26="",H26&lt;&gt;"Car or van"),"",SUMIFS($F$6:F26,$H$6:H26,"Car or van"))</f>
        <v/>
      </c>
      <c r="J26" s="24" t="str">
        <f aca="false">IF(F26="","",IF(H26="Car or van",IF(O26=0,TEXT(INDEX('Notes and sources'!$C$6:$D$6,1,'Start here'!$C$11)*100,"0")&amp;"p",IF(N26=0,TEXT(INDEX('Notes and sources'!$C$7:$D$7,1,'Start here'!$C$11)*100,"0")&amp;"p",TEXT(INDEX('Notes and sources'!$C$6:$D$6,1,'Start here'!$C$11)*100,"0")&amp;"p/"&amp;TEXT(INDEX('Notes and sources'!$C$7:$D$7,1,'Start here'!$C$11)*100,"0")&amp;"p")),IF(H26="Motorcycle",TEXT(INDEX('Notes and sources'!$C$8:$D$8,1,'Start here'!$C$11)*100,"0")&amp;"p",IF(H26="Bicycle",TEXT(INDEX('Notes and sources'!$C$9:$D$9,1,'Start here'!$C$11)*100,"0")&amp;"p",""))))</f>
        <v/>
      </c>
      <c r="K26" s="26" t="str">
        <f aca="false">IF(F26="","",ROUND(IF(H26="Car or van",N26*INDEX('Notes and sources'!$C$6:$D$6,1,'Start here'!$C$11)+O26*INDEX('Notes and sources'!$C$7:$D$7,1,'Start here'!$C$11)+N(G26)*N(F26)*INDEX('Notes and sources'!$C$10:$D$10,1,'Start here'!$C$11),IF(H26="Motorcycle",N(F26)*INDEX('Notes and sources'!$C$8:$D$8,1,'Start here'!$C$11),IF(H26="Bicycle",N(F26)*INDEX('Notes and sources'!$C$9:$D$9,1,'Start here'!$C$11),0))),2))</f>
        <v/>
      </c>
      <c r="L26" s="27"/>
      <c r="N26" s="2" t="n">
        <f aca="false">IF(I26="",0,MAX(0,MIN(N(F26),INDEX('Notes and sources'!$C$12:$D$12,1,'Start here'!$C$11)-(I26-N(F26)))))</f>
        <v>0</v>
      </c>
      <c r="O26" s="2" t="n">
        <f aca="false">IF(I26="",0,N(F26)-N26)</f>
        <v>0</v>
      </c>
      <c r="P26" s="2" t="str">
        <f aca="false">IF(A26="","",IF(AND(MONTH(A26)=4,DAY(A26)&lt;6),13,MOD(MONTH(A26)-4,12)+1))</f>
        <v/>
      </c>
      <c r="R26" s="28" t="s">
        <v>76</v>
      </c>
    </row>
    <row r="27" customFormat="false" ht="15" hidden="false" customHeight="false" outlineLevel="0" collapsed="false">
      <c r="A27" s="21"/>
      <c r="B27" s="6"/>
      <c r="C27" s="6"/>
      <c r="D27" s="6"/>
      <c r="E27" s="6"/>
      <c r="F27" s="22"/>
      <c r="G27" s="23"/>
      <c r="H27" s="24" t="str">
        <f aca="false">IF(B27="","",IFERROR(INDEX('Start here'!$C$16:$C$20,MATCH(B27,'Start here'!$B$16:$B$20,0)),"Check vehicle"))</f>
        <v/>
      </c>
      <c r="I27" s="25" t="str">
        <f aca="false">IF(OR(F27="",H27&lt;&gt;"Car or van"),"",SUMIFS($F$6:F27,$H$6:H27,"Car or van"))</f>
        <v/>
      </c>
      <c r="J27" s="24" t="str">
        <f aca="false">IF(F27="","",IF(H27="Car or van",IF(O27=0,TEXT(INDEX('Notes and sources'!$C$6:$D$6,1,'Start here'!$C$11)*100,"0")&amp;"p",IF(N27=0,TEXT(INDEX('Notes and sources'!$C$7:$D$7,1,'Start here'!$C$11)*100,"0")&amp;"p",TEXT(INDEX('Notes and sources'!$C$6:$D$6,1,'Start here'!$C$11)*100,"0")&amp;"p/"&amp;TEXT(INDEX('Notes and sources'!$C$7:$D$7,1,'Start here'!$C$11)*100,"0")&amp;"p")),IF(H27="Motorcycle",TEXT(INDEX('Notes and sources'!$C$8:$D$8,1,'Start here'!$C$11)*100,"0")&amp;"p",IF(H27="Bicycle",TEXT(INDEX('Notes and sources'!$C$9:$D$9,1,'Start here'!$C$11)*100,"0")&amp;"p",""))))</f>
        <v/>
      </c>
      <c r="K27" s="26" t="str">
        <f aca="false">IF(F27="","",ROUND(IF(H27="Car or van",N27*INDEX('Notes and sources'!$C$6:$D$6,1,'Start here'!$C$11)+O27*INDEX('Notes and sources'!$C$7:$D$7,1,'Start here'!$C$11)+N(G27)*N(F27)*INDEX('Notes and sources'!$C$10:$D$10,1,'Start here'!$C$11),IF(H27="Motorcycle",N(F27)*INDEX('Notes and sources'!$C$8:$D$8,1,'Start here'!$C$11),IF(H27="Bicycle",N(F27)*INDEX('Notes and sources'!$C$9:$D$9,1,'Start here'!$C$11),0))),2))</f>
        <v/>
      </c>
      <c r="L27" s="27"/>
      <c r="N27" s="2" t="n">
        <f aca="false">IF(I27="",0,MAX(0,MIN(N(F27),INDEX('Notes and sources'!$C$12:$D$12,1,'Start here'!$C$11)-(I27-N(F27)))))</f>
        <v>0</v>
      </c>
      <c r="O27" s="2" t="n">
        <f aca="false">IF(I27="",0,N(F27)-N27)</f>
        <v>0</v>
      </c>
      <c r="P27" s="2" t="str">
        <f aca="false">IF(A27="","",IF(AND(MONTH(A27)=4,DAY(A27)&lt;6),13,MOD(MONTH(A27)-4,12)+1))</f>
        <v/>
      </c>
    </row>
    <row r="28" customFormat="false" ht="15" hidden="false" customHeight="false" outlineLevel="0" collapsed="false">
      <c r="A28" s="21"/>
      <c r="B28" s="6"/>
      <c r="C28" s="6"/>
      <c r="D28" s="6"/>
      <c r="E28" s="6"/>
      <c r="F28" s="22"/>
      <c r="G28" s="23"/>
      <c r="H28" s="24" t="str">
        <f aca="false">IF(B28="","",IFERROR(INDEX('Start here'!$C$16:$C$20,MATCH(B28,'Start here'!$B$16:$B$20,0)),"Check vehicle"))</f>
        <v/>
      </c>
      <c r="I28" s="25" t="str">
        <f aca="false">IF(OR(F28="",H28&lt;&gt;"Car or van"),"",SUMIFS($F$6:F28,$H$6:H28,"Car or van"))</f>
        <v/>
      </c>
      <c r="J28" s="24" t="str">
        <f aca="false">IF(F28="","",IF(H28="Car or van",IF(O28=0,TEXT(INDEX('Notes and sources'!$C$6:$D$6,1,'Start here'!$C$11)*100,"0")&amp;"p",IF(N28=0,TEXT(INDEX('Notes and sources'!$C$7:$D$7,1,'Start here'!$C$11)*100,"0")&amp;"p",TEXT(INDEX('Notes and sources'!$C$6:$D$6,1,'Start here'!$C$11)*100,"0")&amp;"p/"&amp;TEXT(INDEX('Notes and sources'!$C$7:$D$7,1,'Start here'!$C$11)*100,"0")&amp;"p")),IF(H28="Motorcycle",TEXT(INDEX('Notes and sources'!$C$8:$D$8,1,'Start here'!$C$11)*100,"0")&amp;"p",IF(H28="Bicycle",TEXT(INDEX('Notes and sources'!$C$9:$D$9,1,'Start here'!$C$11)*100,"0")&amp;"p",""))))</f>
        <v/>
      </c>
      <c r="K28" s="26" t="str">
        <f aca="false">IF(F28="","",ROUND(IF(H28="Car or van",N28*INDEX('Notes and sources'!$C$6:$D$6,1,'Start here'!$C$11)+O28*INDEX('Notes and sources'!$C$7:$D$7,1,'Start here'!$C$11)+N(G28)*N(F28)*INDEX('Notes and sources'!$C$10:$D$10,1,'Start here'!$C$11),IF(H28="Motorcycle",N(F28)*INDEX('Notes and sources'!$C$8:$D$8,1,'Start here'!$C$11),IF(H28="Bicycle",N(F28)*INDEX('Notes and sources'!$C$9:$D$9,1,'Start here'!$C$11),0))),2))</f>
        <v/>
      </c>
      <c r="L28" s="27"/>
      <c r="N28" s="2" t="n">
        <f aca="false">IF(I28="",0,MAX(0,MIN(N(F28),INDEX('Notes and sources'!$C$12:$D$12,1,'Start here'!$C$11)-(I28-N(F28)))))</f>
        <v>0</v>
      </c>
      <c r="O28" s="2" t="n">
        <f aca="false">IF(I28="",0,N(F28)-N28)</f>
        <v>0</v>
      </c>
      <c r="P28" s="2" t="str">
        <f aca="false">IF(A28="","",IF(AND(MONTH(A28)=4,DAY(A28)&lt;6),13,MOD(MONTH(A28)-4,12)+1))</f>
        <v/>
      </c>
      <c r="R28" s="14" t="s">
        <v>77</v>
      </c>
    </row>
    <row r="29" customFormat="false" ht="15" hidden="false" customHeight="true" outlineLevel="0" collapsed="false">
      <c r="A29" s="21"/>
      <c r="B29" s="6"/>
      <c r="C29" s="6"/>
      <c r="D29" s="6"/>
      <c r="E29" s="6"/>
      <c r="F29" s="22"/>
      <c r="G29" s="23"/>
      <c r="H29" s="24" t="str">
        <f aca="false">IF(B29="","",IFERROR(INDEX('Start here'!$C$16:$C$20,MATCH(B29,'Start here'!$B$16:$B$20,0)),"Check vehicle"))</f>
        <v/>
      </c>
      <c r="I29" s="25" t="str">
        <f aca="false">IF(OR(F29="",H29&lt;&gt;"Car or van"),"",SUMIFS($F$6:F29,$H$6:H29,"Car or van"))</f>
        <v/>
      </c>
      <c r="J29" s="24" t="str">
        <f aca="false">IF(F29="","",IF(H29="Car or van",IF(O29=0,TEXT(INDEX('Notes and sources'!$C$6:$D$6,1,'Start here'!$C$11)*100,"0")&amp;"p",IF(N29=0,TEXT(INDEX('Notes and sources'!$C$7:$D$7,1,'Start here'!$C$11)*100,"0")&amp;"p",TEXT(INDEX('Notes and sources'!$C$6:$D$6,1,'Start here'!$C$11)*100,"0")&amp;"p/"&amp;TEXT(INDEX('Notes and sources'!$C$7:$D$7,1,'Start here'!$C$11)*100,"0")&amp;"p")),IF(H29="Motorcycle",TEXT(INDEX('Notes and sources'!$C$8:$D$8,1,'Start here'!$C$11)*100,"0")&amp;"p",IF(H29="Bicycle",TEXT(INDEX('Notes and sources'!$C$9:$D$9,1,'Start here'!$C$11)*100,"0")&amp;"p",""))))</f>
        <v/>
      </c>
      <c r="K29" s="26" t="str">
        <f aca="false">IF(F29="","",ROUND(IF(H29="Car or van",N29*INDEX('Notes and sources'!$C$6:$D$6,1,'Start here'!$C$11)+O29*INDEX('Notes and sources'!$C$7:$D$7,1,'Start here'!$C$11)+N(G29)*N(F29)*INDEX('Notes and sources'!$C$10:$D$10,1,'Start here'!$C$11),IF(H29="Motorcycle",N(F29)*INDEX('Notes and sources'!$C$8:$D$8,1,'Start here'!$C$11),IF(H29="Bicycle",N(F29)*INDEX('Notes and sources'!$C$9:$D$9,1,'Start here'!$C$11),0))),2))</f>
        <v/>
      </c>
      <c r="L29" s="27"/>
      <c r="N29" s="2" t="n">
        <f aca="false">IF(I29="",0,MAX(0,MIN(N(F29),INDEX('Notes and sources'!$C$12:$D$12,1,'Start here'!$C$11)-(I29-N(F29)))))</f>
        <v>0</v>
      </c>
      <c r="O29" s="2" t="n">
        <f aca="false">IF(I29="",0,N(F29)-N29)</f>
        <v>0</v>
      </c>
      <c r="P29" s="2" t="str">
        <f aca="false">IF(A29="","",IF(AND(MONTH(A29)=4,DAY(A29)&lt;6),13,MOD(MONTH(A29)-4,12)+1))</f>
        <v/>
      </c>
      <c r="R29" s="9" t="s">
        <v>78</v>
      </c>
      <c r="S29" s="9"/>
    </row>
    <row r="30" customFormat="false" ht="15" hidden="false" customHeight="false" outlineLevel="0" collapsed="false">
      <c r="A30" s="21"/>
      <c r="B30" s="6"/>
      <c r="C30" s="6"/>
      <c r="D30" s="6"/>
      <c r="E30" s="6"/>
      <c r="F30" s="22"/>
      <c r="G30" s="23"/>
      <c r="H30" s="24" t="str">
        <f aca="false">IF(B30="","",IFERROR(INDEX('Start here'!$C$16:$C$20,MATCH(B30,'Start here'!$B$16:$B$20,0)),"Check vehicle"))</f>
        <v/>
      </c>
      <c r="I30" s="25" t="str">
        <f aca="false">IF(OR(F30="",H30&lt;&gt;"Car or van"),"",SUMIFS($F$6:F30,$H$6:H30,"Car or van"))</f>
        <v/>
      </c>
      <c r="J30" s="24" t="str">
        <f aca="false">IF(F30="","",IF(H30="Car or van",IF(O30=0,TEXT(INDEX('Notes and sources'!$C$6:$D$6,1,'Start here'!$C$11)*100,"0")&amp;"p",IF(N30=0,TEXT(INDEX('Notes and sources'!$C$7:$D$7,1,'Start here'!$C$11)*100,"0")&amp;"p",TEXT(INDEX('Notes and sources'!$C$6:$D$6,1,'Start here'!$C$11)*100,"0")&amp;"p/"&amp;TEXT(INDEX('Notes and sources'!$C$7:$D$7,1,'Start here'!$C$11)*100,"0")&amp;"p")),IF(H30="Motorcycle",TEXT(INDEX('Notes and sources'!$C$8:$D$8,1,'Start here'!$C$11)*100,"0")&amp;"p",IF(H30="Bicycle",TEXT(INDEX('Notes and sources'!$C$9:$D$9,1,'Start here'!$C$11)*100,"0")&amp;"p",""))))</f>
        <v/>
      </c>
      <c r="K30" s="26" t="str">
        <f aca="false">IF(F30="","",ROUND(IF(H30="Car or van",N30*INDEX('Notes and sources'!$C$6:$D$6,1,'Start here'!$C$11)+O30*INDEX('Notes and sources'!$C$7:$D$7,1,'Start here'!$C$11)+N(G30)*N(F30)*INDEX('Notes and sources'!$C$10:$D$10,1,'Start here'!$C$11),IF(H30="Motorcycle",N(F30)*INDEX('Notes and sources'!$C$8:$D$8,1,'Start here'!$C$11),IF(H30="Bicycle",N(F30)*INDEX('Notes and sources'!$C$9:$D$9,1,'Start here'!$C$11),0))),2))</f>
        <v/>
      </c>
      <c r="L30" s="27"/>
      <c r="N30" s="2" t="n">
        <f aca="false">IF(I30="",0,MAX(0,MIN(N(F30),INDEX('Notes and sources'!$C$12:$D$12,1,'Start here'!$C$11)-(I30-N(F30)))))</f>
        <v>0</v>
      </c>
      <c r="O30" s="2" t="n">
        <f aca="false">IF(I30="",0,N(F30)-N30)</f>
        <v>0</v>
      </c>
      <c r="P30" s="2" t="str">
        <f aca="false">IF(A30="","",IF(AND(MONTH(A30)=4,DAY(A30)&lt;6),13,MOD(MONTH(A30)-4,12)+1))</f>
        <v/>
      </c>
      <c r="R30" s="9"/>
      <c r="S30" s="9"/>
    </row>
    <row r="31" customFormat="false" ht="15" hidden="false" customHeight="false" outlineLevel="0" collapsed="false">
      <c r="A31" s="21"/>
      <c r="B31" s="6"/>
      <c r="C31" s="6"/>
      <c r="D31" s="6"/>
      <c r="E31" s="6"/>
      <c r="F31" s="22"/>
      <c r="G31" s="23"/>
      <c r="H31" s="24" t="str">
        <f aca="false">IF(B31="","",IFERROR(INDEX('Start here'!$C$16:$C$20,MATCH(B31,'Start here'!$B$16:$B$20,0)),"Check vehicle"))</f>
        <v/>
      </c>
      <c r="I31" s="25" t="str">
        <f aca="false">IF(OR(F31="",H31&lt;&gt;"Car or van"),"",SUMIFS($F$6:F31,$H$6:H31,"Car or van"))</f>
        <v/>
      </c>
      <c r="J31" s="24" t="str">
        <f aca="false">IF(F31="","",IF(H31="Car or van",IF(O31=0,TEXT(INDEX('Notes and sources'!$C$6:$D$6,1,'Start here'!$C$11)*100,"0")&amp;"p",IF(N31=0,TEXT(INDEX('Notes and sources'!$C$7:$D$7,1,'Start here'!$C$11)*100,"0")&amp;"p",TEXT(INDEX('Notes and sources'!$C$6:$D$6,1,'Start here'!$C$11)*100,"0")&amp;"p/"&amp;TEXT(INDEX('Notes and sources'!$C$7:$D$7,1,'Start here'!$C$11)*100,"0")&amp;"p")),IF(H31="Motorcycle",TEXT(INDEX('Notes and sources'!$C$8:$D$8,1,'Start here'!$C$11)*100,"0")&amp;"p",IF(H31="Bicycle",TEXT(INDEX('Notes and sources'!$C$9:$D$9,1,'Start here'!$C$11)*100,"0")&amp;"p",""))))</f>
        <v/>
      </c>
      <c r="K31" s="26" t="str">
        <f aca="false">IF(F31="","",ROUND(IF(H31="Car or van",N31*INDEX('Notes and sources'!$C$6:$D$6,1,'Start here'!$C$11)+O31*INDEX('Notes and sources'!$C$7:$D$7,1,'Start here'!$C$11)+N(G31)*N(F31)*INDEX('Notes and sources'!$C$10:$D$10,1,'Start here'!$C$11),IF(H31="Motorcycle",N(F31)*INDEX('Notes and sources'!$C$8:$D$8,1,'Start here'!$C$11),IF(H31="Bicycle",N(F31)*INDEX('Notes and sources'!$C$9:$D$9,1,'Start here'!$C$11),0))),2))</f>
        <v/>
      </c>
      <c r="L31" s="27"/>
      <c r="N31" s="2" t="n">
        <f aca="false">IF(I31="",0,MAX(0,MIN(N(F31),INDEX('Notes and sources'!$C$12:$D$12,1,'Start here'!$C$11)-(I31-N(F31)))))</f>
        <v>0</v>
      </c>
      <c r="O31" s="2" t="n">
        <f aca="false">IF(I31="",0,N(F31)-N31)</f>
        <v>0</v>
      </c>
      <c r="P31" s="2" t="str">
        <f aca="false">IF(A31="","",IF(AND(MONTH(A31)=4,DAY(A31)&lt;6),13,MOD(MONTH(A31)-4,12)+1))</f>
        <v/>
      </c>
      <c r="R31" s="9"/>
      <c r="S31" s="9"/>
    </row>
    <row r="32" customFormat="false" ht="15" hidden="false" customHeight="false" outlineLevel="0" collapsed="false">
      <c r="A32" s="21"/>
      <c r="B32" s="6"/>
      <c r="C32" s="6"/>
      <c r="D32" s="6"/>
      <c r="E32" s="6"/>
      <c r="F32" s="22"/>
      <c r="G32" s="23"/>
      <c r="H32" s="24" t="str">
        <f aca="false">IF(B32="","",IFERROR(INDEX('Start here'!$C$16:$C$20,MATCH(B32,'Start here'!$B$16:$B$20,0)),"Check vehicle"))</f>
        <v/>
      </c>
      <c r="I32" s="25" t="str">
        <f aca="false">IF(OR(F32="",H32&lt;&gt;"Car or van"),"",SUMIFS($F$6:F32,$H$6:H32,"Car or van"))</f>
        <v/>
      </c>
      <c r="J32" s="24" t="str">
        <f aca="false">IF(F32="","",IF(H32="Car or van",IF(O32=0,TEXT(INDEX('Notes and sources'!$C$6:$D$6,1,'Start here'!$C$11)*100,"0")&amp;"p",IF(N32=0,TEXT(INDEX('Notes and sources'!$C$7:$D$7,1,'Start here'!$C$11)*100,"0")&amp;"p",TEXT(INDEX('Notes and sources'!$C$6:$D$6,1,'Start here'!$C$11)*100,"0")&amp;"p/"&amp;TEXT(INDEX('Notes and sources'!$C$7:$D$7,1,'Start here'!$C$11)*100,"0")&amp;"p")),IF(H32="Motorcycle",TEXT(INDEX('Notes and sources'!$C$8:$D$8,1,'Start here'!$C$11)*100,"0")&amp;"p",IF(H32="Bicycle",TEXT(INDEX('Notes and sources'!$C$9:$D$9,1,'Start here'!$C$11)*100,"0")&amp;"p",""))))</f>
        <v/>
      </c>
      <c r="K32" s="26" t="str">
        <f aca="false">IF(F32="","",ROUND(IF(H32="Car or van",N32*INDEX('Notes and sources'!$C$6:$D$6,1,'Start here'!$C$11)+O32*INDEX('Notes and sources'!$C$7:$D$7,1,'Start here'!$C$11)+N(G32)*N(F32)*INDEX('Notes and sources'!$C$10:$D$10,1,'Start here'!$C$11),IF(H32="Motorcycle",N(F32)*INDEX('Notes and sources'!$C$8:$D$8,1,'Start here'!$C$11),IF(H32="Bicycle",N(F32)*INDEX('Notes and sources'!$C$9:$D$9,1,'Start here'!$C$11),0))),2))</f>
        <v/>
      </c>
      <c r="L32" s="27"/>
      <c r="N32" s="2" t="n">
        <f aca="false">IF(I32="",0,MAX(0,MIN(N(F32),INDEX('Notes and sources'!$C$12:$D$12,1,'Start here'!$C$11)-(I32-N(F32)))))</f>
        <v>0</v>
      </c>
      <c r="O32" s="2" t="n">
        <f aca="false">IF(I32="",0,N(F32)-N32)</f>
        <v>0</v>
      </c>
      <c r="P32" s="2" t="str">
        <f aca="false">IF(A32="","",IF(AND(MONTH(A32)=4,DAY(A32)&lt;6),13,MOD(MONTH(A32)-4,12)+1))</f>
        <v/>
      </c>
      <c r="R32" s="28" t="s">
        <v>79</v>
      </c>
    </row>
    <row r="33" customFormat="false" ht="15" hidden="false" customHeight="false" outlineLevel="0" collapsed="false">
      <c r="A33" s="21"/>
      <c r="B33" s="6"/>
      <c r="C33" s="6"/>
      <c r="D33" s="6"/>
      <c r="E33" s="6"/>
      <c r="F33" s="22"/>
      <c r="G33" s="23"/>
      <c r="H33" s="24" t="str">
        <f aca="false">IF(B33="","",IFERROR(INDEX('Start here'!$C$16:$C$20,MATCH(B33,'Start here'!$B$16:$B$20,0)),"Check vehicle"))</f>
        <v/>
      </c>
      <c r="I33" s="25" t="str">
        <f aca="false">IF(OR(F33="",H33&lt;&gt;"Car or van"),"",SUMIFS($F$6:F33,$H$6:H33,"Car or van"))</f>
        <v/>
      </c>
      <c r="J33" s="24" t="str">
        <f aca="false">IF(F33="","",IF(H33="Car or van",IF(O33=0,TEXT(INDEX('Notes and sources'!$C$6:$D$6,1,'Start here'!$C$11)*100,"0")&amp;"p",IF(N33=0,TEXT(INDEX('Notes and sources'!$C$7:$D$7,1,'Start here'!$C$11)*100,"0")&amp;"p",TEXT(INDEX('Notes and sources'!$C$6:$D$6,1,'Start here'!$C$11)*100,"0")&amp;"p/"&amp;TEXT(INDEX('Notes and sources'!$C$7:$D$7,1,'Start here'!$C$11)*100,"0")&amp;"p")),IF(H33="Motorcycle",TEXT(INDEX('Notes and sources'!$C$8:$D$8,1,'Start here'!$C$11)*100,"0")&amp;"p",IF(H33="Bicycle",TEXT(INDEX('Notes and sources'!$C$9:$D$9,1,'Start here'!$C$11)*100,"0")&amp;"p",""))))</f>
        <v/>
      </c>
      <c r="K33" s="26" t="str">
        <f aca="false">IF(F33="","",ROUND(IF(H33="Car or van",N33*INDEX('Notes and sources'!$C$6:$D$6,1,'Start here'!$C$11)+O33*INDEX('Notes and sources'!$C$7:$D$7,1,'Start here'!$C$11)+N(G33)*N(F33)*INDEX('Notes and sources'!$C$10:$D$10,1,'Start here'!$C$11),IF(H33="Motorcycle",N(F33)*INDEX('Notes and sources'!$C$8:$D$8,1,'Start here'!$C$11),IF(H33="Bicycle",N(F33)*INDEX('Notes and sources'!$C$9:$D$9,1,'Start here'!$C$11),0))),2))</f>
        <v/>
      </c>
      <c r="L33" s="27"/>
      <c r="N33" s="2" t="n">
        <f aca="false">IF(I33="",0,MAX(0,MIN(N(F33),INDEX('Notes and sources'!$C$12:$D$12,1,'Start here'!$C$11)-(I33-N(F33)))))</f>
        <v>0</v>
      </c>
      <c r="O33" s="2" t="n">
        <f aca="false">IF(I33="",0,N(F33)-N33)</f>
        <v>0</v>
      </c>
      <c r="P33" s="2" t="str">
        <f aca="false">IF(A33="","",IF(AND(MONTH(A33)=4,DAY(A33)&lt;6),13,MOD(MONTH(A33)-4,12)+1))</f>
        <v/>
      </c>
    </row>
    <row r="34" customFormat="false" ht="15" hidden="false" customHeight="false" outlineLevel="0" collapsed="false">
      <c r="A34" s="21"/>
      <c r="B34" s="6"/>
      <c r="C34" s="6"/>
      <c r="D34" s="6"/>
      <c r="E34" s="6"/>
      <c r="F34" s="22"/>
      <c r="G34" s="23"/>
      <c r="H34" s="24" t="str">
        <f aca="false">IF(B34="","",IFERROR(INDEX('Start here'!$C$16:$C$20,MATCH(B34,'Start here'!$B$16:$B$20,0)),"Check vehicle"))</f>
        <v/>
      </c>
      <c r="I34" s="25" t="str">
        <f aca="false">IF(OR(F34="",H34&lt;&gt;"Car or van"),"",SUMIFS($F$6:F34,$H$6:H34,"Car or van"))</f>
        <v/>
      </c>
      <c r="J34" s="24" t="str">
        <f aca="false">IF(F34="","",IF(H34="Car or van",IF(O34=0,TEXT(INDEX('Notes and sources'!$C$6:$D$6,1,'Start here'!$C$11)*100,"0")&amp;"p",IF(N34=0,TEXT(INDEX('Notes and sources'!$C$7:$D$7,1,'Start here'!$C$11)*100,"0")&amp;"p",TEXT(INDEX('Notes and sources'!$C$6:$D$6,1,'Start here'!$C$11)*100,"0")&amp;"p/"&amp;TEXT(INDEX('Notes and sources'!$C$7:$D$7,1,'Start here'!$C$11)*100,"0")&amp;"p")),IF(H34="Motorcycle",TEXT(INDEX('Notes and sources'!$C$8:$D$8,1,'Start here'!$C$11)*100,"0")&amp;"p",IF(H34="Bicycle",TEXT(INDEX('Notes and sources'!$C$9:$D$9,1,'Start here'!$C$11)*100,"0")&amp;"p",""))))</f>
        <v/>
      </c>
      <c r="K34" s="26" t="str">
        <f aca="false">IF(F34="","",ROUND(IF(H34="Car or van",N34*INDEX('Notes and sources'!$C$6:$D$6,1,'Start here'!$C$11)+O34*INDEX('Notes and sources'!$C$7:$D$7,1,'Start here'!$C$11)+N(G34)*N(F34)*INDEX('Notes and sources'!$C$10:$D$10,1,'Start here'!$C$11),IF(H34="Motorcycle",N(F34)*INDEX('Notes and sources'!$C$8:$D$8,1,'Start here'!$C$11),IF(H34="Bicycle",N(F34)*INDEX('Notes and sources'!$C$9:$D$9,1,'Start here'!$C$11),0))),2))</f>
        <v/>
      </c>
      <c r="L34" s="27"/>
      <c r="N34" s="2" t="n">
        <f aca="false">IF(I34="",0,MAX(0,MIN(N(F34),INDEX('Notes and sources'!$C$12:$D$12,1,'Start here'!$C$11)-(I34-N(F34)))))</f>
        <v>0</v>
      </c>
      <c r="O34" s="2" t="n">
        <f aca="false">IF(I34="",0,N(F34)-N34)</f>
        <v>0</v>
      </c>
      <c r="P34" s="2" t="str">
        <f aca="false">IF(A34="","",IF(AND(MONTH(A34)=4,DAY(A34)&lt;6),13,MOD(MONTH(A34)-4,12)+1))</f>
        <v/>
      </c>
    </row>
    <row r="35" customFormat="false" ht="15" hidden="false" customHeight="false" outlineLevel="0" collapsed="false">
      <c r="A35" s="21"/>
      <c r="B35" s="6"/>
      <c r="C35" s="6"/>
      <c r="D35" s="6"/>
      <c r="E35" s="6"/>
      <c r="F35" s="22"/>
      <c r="G35" s="23"/>
      <c r="H35" s="24" t="str">
        <f aca="false">IF(B35="","",IFERROR(INDEX('Start here'!$C$16:$C$20,MATCH(B35,'Start here'!$B$16:$B$20,0)),"Check vehicle"))</f>
        <v/>
      </c>
      <c r="I35" s="25" t="str">
        <f aca="false">IF(OR(F35="",H35&lt;&gt;"Car or van"),"",SUMIFS($F$6:F35,$H$6:H35,"Car or van"))</f>
        <v/>
      </c>
      <c r="J35" s="24" t="str">
        <f aca="false">IF(F35="","",IF(H35="Car or van",IF(O35=0,TEXT(INDEX('Notes and sources'!$C$6:$D$6,1,'Start here'!$C$11)*100,"0")&amp;"p",IF(N35=0,TEXT(INDEX('Notes and sources'!$C$7:$D$7,1,'Start here'!$C$11)*100,"0")&amp;"p",TEXT(INDEX('Notes and sources'!$C$6:$D$6,1,'Start here'!$C$11)*100,"0")&amp;"p/"&amp;TEXT(INDEX('Notes and sources'!$C$7:$D$7,1,'Start here'!$C$11)*100,"0")&amp;"p")),IF(H35="Motorcycle",TEXT(INDEX('Notes and sources'!$C$8:$D$8,1,'Start here'!$C$11)*100,"0")&amp;"p",IF(H35="Bicycle",TEXT(INDEX('Notes and sources'!$C$9:$D$9,1,'Start here'!$C$11)*100,"0")&amp;"p",""))))</f>
        <v/>
      </c>
      <c r="K35" s="26" t="str">
        <f aca="false">IF(F35="","",ROUND(IF(H35="Car or van",N35*INDEX('Notes and sources'!$C$6:$D$6,1,'Start here'!$C$11)+O35*INDEX('Notes and sources'!$C$7:$D$7,1,'Start here'!$C$11)+N(G35)*N(F35)*INDEX('Notes and sources'!$C$10:$D$10,1,'Start here'!$C$11),IF(H35="Motorcycle",N(F35)*INDEX('Notes and sources'!$C$8:$D$8,1,'Start here'!$C$11),IF(H35="Bicycle",N(F35)*INDEX('Notes and sources'!$C$9:$D$9,1,'Start here'!$C$11),0))),2))</f>
        <v/>
      </c>
      <c r="L35" s="27"/>
      <c r="N35" s="2" t="n">
        <f aca="false">IF(I35="",0,MAX(0,MIN(N(F35),INDEX('Notes and sources'!$C$12:$D$12,1,'Start here'!$C$11)-(I35-N(F35)))))</f>
        <v>0</v>
      </c>
      <c r="O35" s="2" t="n">
        <f aca="false">IF(I35="",0,N(F35)-N35)</f>
        <v>0</v>
      </c>
      <c r="P35" s="2" t="str">
        <f aca="false">IF(A35="","",IF(AND(MONTH(A35)=4,DAY(A35)&lt;6),13,MOD(MONTH(A35)-4,12)+1))</f>
        <v/>
      </c>
    </row>
    <row r="36" customFormat="false" ht="15" hidden="false" customHeight="false" outlineLevel="0" collapsed="false">
      <c r="A36" s="21"/>
      <c r="B36" s="6"/>
      <c r="C36" s="6"/>
      <c r="D36" s="6"/>
      <c r="E36" s="6"/>
      <c r="F36" s="22"/>
      <c r="G36" s="23"/>
      <c r="H36" s="24" t="str">
        <f aca="false">IF(B36="","",IFERROR(INDEX('Start here'!$C$16:$C$20,MATCH(B36,'Start here'!$B$16:$B$20,0)),"Check vehicle"))</f>
        <v/>
      </c>
      <c r="I36" s="25" t="str">
        <f aca="false">IF(OR(F36="",H36&lt;&gt;"Car or van"),"",SUMIFS($F$6:F36,$H$6:H36,"Car or van"))</f>
        <v/>
      </c>
      <c r="J36" s="24" t="str">
        <f aca="false">IF(F36="","",IF(H36="Car or van",IF(O36=0,TEXT(INDEX('Notes and sources'!$C$6:$D$6,1,'Start here'!$C$11)*100,"0")&amp;"p",IF(N36=0,TEXT(INDEX('Notes and sources'!$C$7:$D$7,1,'Start here'!$C$11)*100,"0")&amp;"p",TEXT(INDEX('Notes and sources'!$C$6:$D$6,1,'Start here'!$C$11)*100,"0")&amp;"p/"&amp;TEXT(INDEX('Notes and sources'!$C$7:$D$7,1,'Start here'!$C$11)*100,"0")&amp;"p")),IF(H36="Motorcycle",TEXT(INDEX('Notes and sources'!$C$8:$D$8,1,'Start here'!$C$11)*100,"0")&amp;"p",IF(H36="Bicycle",TEXT(INDEX('Notes and sources'!$C$9:$D$9,1,'Start here'!$C$11)*100,"0")&amp;"p",""))))</f>
        <v/>
      </c>
      <c r="K36" s="26" t="str">
        <f aca="false">IF(F36="","",ROUND(IF(H36="Car or van",N36*INDEX('Notes and sources'!$C$6:$D$6,1,'Start here'!$C$11)+O36*INDEX('Notes and sources'!$C$7:$D$7,1,'Start here'!$C$11)+N(G36)*N(F36)*INDEX('Notes and sources'!$C$10:$D$10,1,'Start here'!$C$11),IF(H36="Motorcycle",N(F36)*INDEX('Notes and sources'!$C$8:$D$8,1,'Start here'!$C$11),IF(H36="Bicycle",N(F36)*INDEX('Notes and sources'!$C$9:$D$9,1,'Start here'!$C$11),0))),2))</f>
        <v/>
      </c>
      <c r="L36" s="27"/>
      <c r="N36" s="2" t="n">
        <f aca="false">IF(I36="",0,MAX(0,MIN(N(F36),INDEX('Notes and sources'!$C$12:$D$12,1,'Start here'!$C$11)-(I36-N(F36)))))</f>
        <v>0</v>
      </c>
      <c r="O36" s="2" t="n">
        <f aca="false">IF(I36="",0,N(F36)-N36)</f>
        <v>0</v>
      </c>
      <c r="P36" s="2" t="str">
        <f aca="false">IF(A36="","",IF(AND(MONTH(A36)=4,DAY(A36)&lt;6),13,MOD(MONTH(A36)-4,12)+1))</f>
        <v/>
      </c>
    </row>
    <row r="37" customFormat="false" ht="15" hidden="false" customHeight="false" outlineLevel="0" collapsed="false">
      <c r="A37" s="21"/>
      <c r="B37" s="6"/>
      <c r="C37" s="6"/>
      <c r="D37" s="6"/>
      <c r="E37" s="6"/>
      <c r="F37" s="22"/>
      <c r="G37" s="23"/>
      <c r="H37" s="24" t="str">
        <f aca="false">IF(B37="","",IFERROR(INDEX('Start here'!$C$16:$C$20,MATCH(B37,'Start here'!$B$16:$B$20,0)),"Check vehicle"))</f>
        <v/>
      </c>
      <c r="I37" s="25" t="str">
        <f aca="false">IF(OR(F37="",H37&lt;&gt;"Car or van"),"",SUMIFS($F$6:F37,$H$6:H37,"Car or van"))</f>
        <v/>
      </c>
      <c r="J37" s="24" t="str">
        <f aca="false">IF(F37="","",IF(H37="Car or van",IF(O37=0,TEXT(INDEX('Notes and sources'!$C$6:$D$6,1,'Start here'!$C$11)*100,"0")&amp;"p",IF(N37=0,TEXT(INDEX('Notes and sources'!$C$7:$D$7,1,'Start here'!$C$11)*100,"0")&amp;"p",TEXT(INDEX('Notes and sources'!$C$6:$D$6,1,'Start here'!$C$11)*100,"0")&amp;"p/"&amp;TEXT(INDEX('Notes and sources'!$C$7:$D$7,1,'Start here'!$C$11)*100,"0")&amp;"p")),IF(H37="Motorcycle",TEXT(INDEX('Notes and sources'!$C$8:$D$8,1,'Start here'!$C$11)*100,"0")&amp;"p",IF(H37="Bicycle",TEXT(INDEX('Notes and sources'!$C$9:$D$9,1,'Start here'!$C$11)*100,"0")&amp;"p",""))))</f>
        <v/>
      </c>
      <c r="K37" s="26" t="str">
        <f aca="false">IF(F37="","",ROUND(IF(H37="Car or van",N37*INDEX('Notes and sources'!$C$6:$D$6,1,'Start here'!$C$11)+O37*INDEX('Notes and sources'!$C$7:$D$7,1,'Start here'!$C$11)+N(G37)*N(F37)*INDEX('Notes and sources'!$C$10:$D$10,1,'Start here'!$C$11),IF(H37="Motorcycle",N(F37)*INDEX('Notes and sources'!$C$8:$D$8,1,'Start here'!$C$11),IF(H37="Bicycle",N(F37)*INDEX('Notes and sources'!$C$9:$D$9,1,'Start here'!$C$11),0))),2))</f>
        <v/>
      </c>
      <c r="L37" s="27"/>
      <c r="N37" s="2" t="n">
        <f aca="false">IF(I37="",0,MAX(0,MIN(N(F37),INDEX('Notes and sources'!$C$12:$D$12,1,'Start here'!$C$11)-(I37-N(F37)))))</f>
        <v>0</v>
      </c>
      <c r="O37" s="2" t="n">
        <f aca="false">IF(I37="",0,N(F37)-N37)</f>
        <v>0</v>
      </c>
      <c r="P37" s="2" t="str">
        <f aca="false">IF(A37="","",IF(AND(MONTH(A37)=4,DAY(A37)&lt;6),13,MOD(MONTH(A37)-4,12)+1))</f>
        <v/>
      </c>
    </row>
    <row r="38" customFormat="false" ht="15" hidden="false" customHeight="false" outlineLevel="0" collapsed="false">
      <c r="A38" s="21"/>
      <c r="B38" s="6"/>
      <c r="C38" s="6"/>
      <c r="D38" s="6"/>
      <c r="E38" s="6"/>
      <c r="F38" s="22"/>
      <c r="G38" s="23"/>
      <c r="H38" s="24" t="str">
        <f aca="false">IF(B38="","",IFERROR(INDEX('Start here'!$C$16:$C$20,MATCH(B38,'Start here'!$B$16:$B$20,0)),"Check vehicle"))</f>
        <v/>
      </c>
      <c r="I38" s="25" t="str">
        <f aca="false">IF(OR(F38="",H38&lt;&gt;"Car or van"),"",SUMIFS($F$6:F38,$H$6:H38,"Car or van"))</f>
        <v/>
      </c>
      <c r="J38" s="24" t="str">
        <f aca="false">IF(F38="","",IF(H38="Car or van",IF(O38=0,TEXT(INDEX('Notes and sources'!$C$6:$D$6,1,'Start here'!$C$11)*100,"0")&amp;"p",IF(N38=0,TEXT(INDEX('Notes and sources'!$C$7:$D$7,1,'Start here'!$C$11)*100,"0")&amp;"p",TEXT(INDEX('Notes and sources'!$C$6:$D$6,1,'Start here'!$C$11)*100,"0")&amp;"p/"&amp;TEXT(INDEX('Notes and sources'!$C$7:$D$7,1,'Start here'!$C$11)*100,"0")&amp;"p")),IF(H38="Motorcycle",TEXT(INDEX('Notes and sources'!$C$8:$D$8,1,'Start here'!$C$11)*100,"0")&amp;"p",IF(H38="Bicycle",TEXT(INDEX('Notes and sources'!$C$9:$D$9,1,'Start here'!$C$11)*100,"0")&amp;"p",""))))</f>
        <v/>
      </c>
      <c r="K38" s="26" t="str">
        <f aca="false">IF(F38="","",ROUND(IF(H38="Car or van",N38*INDEX('Notes and sources'!$C$6:$D$6,1,'Start here'!$C$11)+O38*INDEX('Notes and sources'!$C$7:$D$7,1,'Start here'!$C$11)+N(G38)*N(F38)*INDEX('Notes and sources'!$C$10:$D$10,1,'Start here'!$C$11),IF(H38="Motorcycle",N(F38)*INDEX('Notes and sources'!$C$8:$D$8,1,'Start here'!$C$11),IF(H38="Bicycle",N(F38)*INDEX('Notes and sources'!$C$9:$D$9,1,'Start here'!$C$11),0))),2))</f>
        <v/>
      </c>
      <c r="L38" s="27"/>
      <c r="N38" s="2" t="n">
        <f aca="false">IF(I38="",0,MAX(0,MIN(N(F38),INDEX('Notes and sources'!$C$12:$D$12,1,'Start here'!$C$11)-(I38-N(F38)))))</f>
        <v>0</v>
      </c>
      <c r="O38" s="2" t="n">
        <f aca="false">IF(I38="",0,N(F38)-N38)</f>
        <v>0</v>
      </c>
      <c r="P38" s="2" t="str">
        <f aca="false">IF(A38="","",IF(AND(MONTH(A38)=4,DAY(A38)&lt;6),13,MOD(MONTH(A38)-4,12)+1))</f>
        <v/>
      </c>
    </row>
    <row r="39" customFormat="false" ht="15" hidden="false" customHeight="false" outlineLevel="0" collapsed="false">
      <c r="A39" s="21"/>
      <c r="B39" s="6"/>
      <c r="C39" s="6"/>
      <c r="D39" s="6"/>
      <c r="E39" s="6"/>
      <c r="F39" s="22"/>
      <c r="G39" s="23"/>
      <c r="H39" s="24" t="str">
        <f aca="false">IF(B39="","",IFERROR(INDEX('Start here'!$C$16:$C$20,MATCH(B39,'Start here'!$B$16:$B$20,0)),"Check vehicle"))</f>
        <v/>
      </c>
      <c r="I39" s="25" t="str">
        <f aca="false">IF(OR(F39="",H39&lt;&gt;"Car or van"),"",SUMIFS($F$6:F39,$H$6:H39,"Car or van"))</f>
        <v/>
      </c>
      <c r="J39" s="24" t="str">
        <f aca="false">IF(F39="","",IF(H39="Car or van",IF(O39=0,TEXT(INDEX('Notes and sources'!$C$6:$D$6,1,'Start here'!$C$11)*100,"0")&amp;"p",IF(N39=0,TEXT(INDEX('Notes and sources'!$C$7:$D$7,1,'Start here'!$C$11)*100,"0")&amp;"p",TEXT(INDEX('Notes and sources'!$C$6:$D$6,1,'Start here'!$C$11)*100,"0")&amp;"p/"&amp;TEXT(INDEX('Notes and sources'!$C$7:$D$7,1,'Start here'!$C$11)*100,"0")&amp;"p")),IF(H39="Motorcycle",TEXT(INDEX('Notes and sources'!$C$8:$D$8,1,'Start here'!$C$11)*100,"0")&amp;"p",IF(H39="Bicycle",TEXT(INDEX('Notes and sources'!$C$9:$D$9,1,'Start here'!$C$11)*100,"0")&amp;"p",""))))</f>
        <v/>
      </c>
      <c r="K39" s="26" t="str">
        <f aca="false">IF(F39="","",ROUND(IF(H39="Car or van",N39*INDEX('Notes and sources'!$C$6:$D$6,1,'Start here'!$C$11)+O39*INDEX('Notes and sources'!$C$7:$D$7,1,'Start here'!$C$11)+N(G39)*N(F39)*INDEX('Notes and sources'!$C$10:$D$10,1,'Start here'!$C$11),IF(H39="Motorcycle",N(F39)*INDEX('Notes and sources'!$C$8:$D$8,1,'Start here'!$C$11),IF(H39="Bicycle",N(F39)*INDEX('Notes and sources'!$C$9:$D$9,1,'Start here'!$C$11),0))),2))</f>
        <v/>
      </c>
      <c r="L39" s="27"/>
      <c r="N39" s="2" t="n">
        <f aca="false">IF(I39="",0,MAX(0,MIN(N(F39),INDEX('Notes and sources'!$C$12:$D$12,1,'Start here'!$C$11)-(I39-N(F39)))))</f>
        <v>0</v>
      </c>
      <c r="O39" s="2" t="n">
        <f aca="false">IF(I39="",0,N(F39)-N39)</f>
        <v>0</v>
      </c>
      <c r="P39" s="2" t="str">
        <f aca="false">IF(A39="","",IF(AND(MONTH(A39)=4,DAY(A39)&lt;6),13,MOD(MONTH(A39)-4,12)+1))</f>
        <v/>
      </c>
    </row>
    <row r="40" customFormat="false" ht="15" hidden="false" customHeight="false" outlineLevel="0" collapsed="false">
      <c r="A40" s="21"/>
      <c r="B40" s="6"/>
      <c r="C40" s="6"/>
      <c r="D40" s="6"/>
      <c r="E40" s="6"/>
      <c r="F40" s="22"/>
      <c r="G40" s="23"/>
      <c r="H40" s="24" t="str">
        <f aca="false">IF(B40="","",IFERROR(INDEX('Start here'!$C$16:$C$20,MATCH(B40,'Start here'!$B$16:$B$20,0)),"Check vehicle"))</f>
        <v/>
      </c>
      <c r="I40" s="25" t="str">
        <f aca="false">IF(OR(F40="",H40&lt;&gt;"Car or van"),"",SUMIFS($F$6:F40,$H$6:H40,"Car or van"))</f>
        <v/>
      </c>
      <c r="J40" s="24" t="str">
        <f aca="false">IF(F40="","",IF(H40="Car or van",IF(O40=0,TEXT(INDEX('Notes and sources'!$C$6:$D$6,1,'Start here'!$C$11)*100,"0")&amp;"p",IF(N40=0,TEXT(INDEX('Notes and sources'!$C$7:$D$7,1,'Start here'!$C$11)*100,"0")&amp;"p",TEXT(INDEX('Notes and sources'!$C$6:$D$6,1,'Start here'!$C$11)*100,"0")&amp;"p/"&amp;TEXT(INDEX('Notes and sources'!$C$7:$D$7,1,'Start here'!$C$11)*100,"0")&amp;"p")),IF(H40="Motorcycle",TEXT(INDEX('Notes and sources'!$C$8:$D$8,1,'Start here'!$C$11)*100,"0")&amp;"p",IF(H40="Bicycle",TEXT(INDEX('Notes and sources'!$C$9:$D$9,1,'Start here'!$C$11)*100,"0")&amp;"p",""))))</f>
        <v/>
      </c>
      <c r="K40" s="26" t="str">
        <f aca="false">IF(F40="","",ROUND(IF(H40="Car or van",N40*INDEX('Notes and sources'!$C$6:$D$6,1,'Start here'!$C$11)+O40*INDEX('Notes and sources'!$C$7:$D$7,1,'Start here'!$C$11)+N(G40)*N(F40)*INDEX('Notes and sources'!$C$10:$D$10,1,'Start here'!$C$11),IF(H40="Motorcycle",N(F40)*INDEX('Notes and sources'!$C$8:$D$8,1,'Start here'!$C$11),IF(H40="Bicycle",N(F40)*INDEX('Notes and sources'!$C$9:$D$9,1,'Start here'!$C$11),0))),2))</f>
        <v/>
      </c>
      <c r="L40" s="27"/>
      <c r="N40" s="2" t="n">
        <f aca="false">IF(I40="",0,MAX(0,MIN(N(F40),INDEX('Notes and sources'!$C$12:$D$12,1,'Start here'!$C$11)-(I40-N(F40)))))</f>
        <v>0</v>
      </c>
      <c r="O40" s="2" t="n">
        <f aca="false">IF(I40="",0,N(F40)-N40)</f>
        <v>0</v>
      </c>
      <c r="P40" s="2" t="str">
        <f aca="false">IF(A40="","",IF(AND(MONTH(A40)=4,DAY(A40)&lt;6),13,MOD(MONTH(A40)-4,12)+1))</f>
        <v/>
      </c>
    </row>
    <row r="41" customFormat="false" ht="15" hidden="false" customHeight="false" outlineLevel="0" collapsed="false">
      <c r="A41" s="21"/>
      <c r="B41" s="6"/>
      <c r="C41" s="6"/>
      <c r="D41" s="6"/>
      <c r="E41" s="6"/>
      <c r="F41" s="22"/>
      <c r="G41" s="23"/>
      <c r="H41" s="24" t="str">
        <f aca="false">IF(B41="","",IFERROR(INDEX('Start here'!$C$16:$C$20,MATCH(B41,'Start here'!$B$16:$B$20,0)),"Check vehicle"))</f>
        <v/>
      </c>
      <c r="I41" s="25" t="str">
        <f aca="false">IF(OR(F41="",H41&lt;&gt;"Car or van"),"",SUMIFS($F$6:F41,$H$6:H41,"Car or van"))</f>
        <v/>
      </c>
      <c r="J41" s="24" t="str">
        <f aca="false">IF(F41="","",IF(H41="Car or van",IF(O41=0,TEXT(INDEX('Notes and sources'!$C$6:$D$6,1,'Start here'!$C$11)*100,"0")&amp;"p",IF(N41=0,TEXT(INDEX('Notes and sources'!$C$7:$D$7,1,'Start here'!$C$11)*100,"0")&amp;"p",TEXT(INDEX('Notes and sources'!$C$6:$D$6,1,'Start here'!$C$11)*100,"0")&amp;"p/"&amp;TEXT(INDEX('Notes and sources'!$C$7:$D$7,1,'Start here'!$C$11)*100,"0")&amp;"p")),IF(H41="Motorcycle",TEXT(INDEX('Notes and sources'!$C$8:$D$8,1,'Start here'!$C$11)*100,"0")&amp;"p",IF(H41="Bicycle",TEXT(INDEX('Notes and sources'!$C$9:$D$9,1,'Start here'!$C$11)*100,"0")&amp;"p",""))))</f>
        <v/>
      </c>
      <c r="K41" s="26" t="str">
        <f aca="false">IF(F41="","",ROUND(IF(H41="Car or van",N41*INDEX('Notes and sources'!$C$6:$D$6,1,'Start here'!$C$11)+O41*INDEX('Notes and sources'!$C$7:$D$7,1,'Start here'!$C$11)+N(G41)*N(F41)*INDEX('Notes and sources'!$C$10:$D$10,1,'Start here'!$C$11),IF(H41="Motorcycle",N(F41)*INDEX('Notes and sources'!$C$8:$D$8,1,'Start here'!$C$11),IF(H41="Bicycle",N(F41)*INDEX('Notes and sources'!$C$9:$D$9,1,'Start here'!$C$11),0))),2))</f>
        <v/>
      </c>
      <c r="L41" s="27"/>
      <c r="N41" s="2" t="n">
        <f aca="false">IF(I41="",0,MAX(0,MIN(N(F41),INDEX('Notes and sources'!$C$12:$D$12,1,'Start here'!$C$11)-(I41-N(F41)))))</f>
        <v>0</v>
      </c>
      <c r="O41" s="2" t="n">
        <f aca="false">IF(I41="",0,N(F41)-N41)</f>
        <v>0</v>
      </c>
      <c r="P41" s="2" t="str">
        <f aca="false">IF(A41="","",IF(AND(MONTH(A41)=4,DAY(A41)&lt;6),13,MOD(MONTH(A41)-4,12)+1))</f>
        <v/>
      </c>
    </row>
    <row r="42" customFormat="false" ht="15" hidden="false" customHeight="false" outlineLevel="0" collapsed="false">
      <c r="A42" s="21"/>
      <c r="B42" s="6"/>
      <c r="C42" s="6"/>
      <c r="D42" s="6"/>
      <c r="E42" s="6"/>
      <c r="F42" s="22"/>
      <c r="G42" s="23"/>
      <c r="H42" s="24" t="str">
        <f aca="false">IF(B42="","",IFERROR(INDEX('Start here'!$C$16:$C$20,MATCH(B42,'Start here'!$B$16:$B$20,0)),"Check vehicle"))</f>
        <v/>
      </c>
      <c r="I42" s="25" t="str">
        <f aca="false">IF(OR(F42="",H42&lt;&gt;"Car or van"),"",SUMIFS($F$6:F42,$H$6:H42,"Car or van"))</f>
        <v/>
      </c>
      <c r="J42" s="24" t="str">
        <f aca="false">IF(F42="","",IF(H42="Car or van",IF(O42=0,TEXT(INDEX('Notes and sources'!$C$6:$D$6,1,'Start here'!$C$11)*100,"0")&amp;"p",IF(N42=0,TEXT(INDEX('Notes and sources'!$C$7:$D$7,1,'Start here'!$C$11)*100,"0")&amp;"p",TEXT(INDEX('Notes and sources'!$C$6:$D$6,1,'Start here'!$C$11)*100,"0")&amp;"p/"&amp;TEXT(INDEX('Notes and sources'!$C$7:$D$7,1,'Start here'!$C$11)*100,"0")&amp;"p")),IF(H42="Motorcycle",TEXT(INDEX('Notes and sources'!$C$8:$D$8,1,'Start here'!$C$11)*100,"0")&amp;"p",IF(H42="Bicycle",TEXT(INDEX('Notes and sources'!$C$9:$D$9,1,'Start here'!$C$11)*100,"0")&amp;"p",""))))</f>
        <v/>
      </c>
      <c r="K42" s="26" t="str">
        <f aca="false">IF(F42="","",ROUND(IF(H42="Car or van",N42*INDEX('Notes and sources'!$C$6:$D$6,1,'Start here'!$C$11)+O42*INDEX('Notes and sources'!$C$7:$D$7,1,'Start here'!$C$11)+N(G42)*N(F42)*INDEX('Notes and sources'!$C$10:$D$10,1,'Start here'!$C$11),IF(H42="Motorcycle",N(F42)*INDEX('Notes and sources'!$C$8:$D$8,1,'Start here'!$C$11),IF(H42="Bicycle",N(F42)*INDEX('Notes and sources'!$C$9:$D$9,1,'Start here'!$C$11),0))),2))</f>
        <v/>
      </c>
      <c r="L42" s="27"/>
      <c r="N42" s="2" t="n">
        <f aca="false">IF(I42="",0,MAX(0,MIN(N(F42),INDEX('Notes and sources'!$C$12:$D$12,1,'Start here'!$C$11)-(I42-N(F42)))))</f>
        <v>0</v>
      </c>
      <c r="O42" s="2" t="n">
        <f aca="false">IF(I42="",0,N(F42)-N42)</f>
        <v>0</v>
      </c>
      <c r="P42" s="2" t="str">
        <f aca="false">IF(A42="","",IF(AND(MONTH(A42)=4,DAY(A42)&lt;6),13,MOD(MONTH(A42)-4,12)+1))</f>
        <v/>
      </c>
    </row>
    <row r="43" customFormat="false" ht="15" hidden="false" customHeight="false" outlineLevel="0" collapsed="false">
      <c r="A43" s="21"/>
      <c r="B43" s="6"/>
      <c r="C43" s="6"/>
      <c r="D43" s="6"/>
      <c r="E43" s="6"/>
      <c r="F43" s="22"/>
      <c r="G43" s="23"/>
      <c r="H43" s="24" t="str">
        <f aca="false">IF(B43="","",IFERROR(INDEX('Start here'!$C$16:$C$20,MATCH(B43,'Start here'!$B$16:$B$20,0)),"Check vehicle"))</f>
        <v/>
      </c>
      <c r="I43" s="25" t="str">
        <f aca="false">IF(OR(F43="",H43&lt;&gt;"Car or van"),"",SUMIFS($F$6:F43,$H$6:H43,"Car or van"))</f>
        <v/>
      </c>
      <c r="J43" s="24" t="str">
        <f aca="false">IF(F43="","",IF(H43="Car or van",IF(O43=0,TEXT(INDEX('Notes and sources'!$C$6:$D$6,1,'Start here'!$C$11)*100,"0")&amp;"p",IF(N43=0,TEXT(INDEX('Notes and sources'!$C$7:$D$7,1,'Start here'!$C$11)*100,"0")&amp;"p",TEXT(INDEX('Notes and sources'!$C$6:$D$6,1,'Start here'!$C$11)*100,"0")&amp;"p/"&amp;TEXT(INDEX('Notes and sources'!$C$7:$D$7,1,'Start here'!$C$11)*100,"0")&amp;"p")),IF(H43="Motorcycle",TEXT(INDEX('Notes and sources'!$C$8:$D$8,1,'Start here'!$C$11)*100,"0")&amp;"p",IF(H43="Bicycle",TEXT(INDEX('Notes and sources'!$C$9:$D$9,1,'Start here'!$C$11)*100,"0")&amp;"p",""))))</f>
        <v/>
      </c>
      <c r="K43" s="26" t="str">
        <f aca="false">IF(F43="","",ROUND(IF(H43="Car or van",N43*INDEX('Notes and sources'!$C$6:$D$6,1,'Start here'!$C$11)+O43*INDEX('Notes and sources'!$C$7:$D$7,1,'Start here'!$C$11)+N(G43)*N(F43)*INDEX('Notes and sources'!$C$10:$D$10,1,'Start here'!$C$11),IF(H43="Motorcycle",N(F43)*INDEX('Notes and sources'!$C$8:$D$8,1,'Start here'!$C$11),IF(H43="Bicycle",N(F43)*INDEX('Notes and sources'!$C$9:$D$9,1,'Start here'!$C$11),0))),2))</f>
        <v/>
      </c>
      <c r="L43" s="27"/>
      <c r="N43" s="2" t="n">
        <f aca="false">IF(I43="",0,MAX(0,MIN(N(F43),INDEX('Notes and sources'!$C$12:$D$12,1,'Start here'!$C$11)-(I43-N(F43)))))</f>
        <v>0</v>
      </c>
      <c r="O43" s="2" t="n">
        <f aca="false">IF(I43="",0,N(F43)-N43)</f>
        <v>0</v>
      </c>
      <c r="P43" s="2" t="str">
        <f aca="false">IF(A43="","",IF(AND(MONTH(A43)=4,DAY(A43)&lt;6),13,MOD(MONTH(A43)-4,12)+1))</f>
        <v/>
      </c>
    </row>
    <row r="44" customFormat="false" ht="15" hidden="false" customHeight="false" outlineLevel="0" collapsed="false">
      <c r="A44" s="21"/>
      <c r="B44" s="6"/>
      <c r="C44" s="6"/>
      <c r="D44" s="6"/>
      <c r="E44" s="6"/>
      <c r="F44" s="22"/>
      <c r="G44" s="23"/>
      <c r="H44" s="24" t="str">
        <f aca="false">IF(B44="","",IFERROR(INDEX('Start here'!$C$16:$C$20,MATCH(B44,'Start here'!$B$16:$B$20,0)),"Check vehicle"))</f>
        <v/>
      </c>
      <c r="I44" s="25" t="str">
        <f aca="false">IF(OR(F44="",H44&lt;&gt;"Car or van"),"",SUMIFS($F$6:F44,$H$6:H44,"Car or van"))</f>
        <v/>
      </c>
      <c r="J44" s="24" t="str">
        <f aca="false">IF(F44="","",IF(H44="Car or van",IF(O44=0,TEXT(INDEX('Notes and sources'!$C$6:$D$6,1,'Start here'!$C$11)*100,"0")&amp;"p",IF(N44=0,TEXT(INDEX('Notes and sources'!$C$7:$D$7,1,'Start here'!$C$11)*100,"0")&amp;"p",TEXT(INDEX('Notes and sources'!$C$6:$D$6,1,'Start here'!$C$11)*100,"0")&amp;"p/"&amp;TEXT(INDEX('Notes and sources'!$C$7:$D$7,1,'Start here'!$C$11)*100,"0")&amp;"p")),IF(H44="Motorcycle",TEXT(INDEX('Notes and sources'!$C$8:$D$8,1,'Start here'!$C$11)*100,"0")&amp;"p",IF(H44="Bicycle",TEXT(INDEX('Notes and sources'!$C$9:$D$9,1,'Start here'!$C$11)*100,"0")&amp;"p",""))))</f>
        <v/>
      </c>
      <c r="K44" s="26" t="str">
        <f aca="false">IF(F44="","",ROUND(IF(H44="Car or van",N44*INDEX('Notes and sources'!$C$6:$D$6,1,'Start here'!$C$11)+O44*INDEX('Notes and sources'!$C$7:$D$7,1,'Start here'!$C$11)+N(G44)*N(F44)*INDEX('Notes and sources'!$C$10:$D$10,1,'Start here'!$C$11),IF(H44="Motorcycle",N(F44)*INDEX('Notes and sources'!$C$8:$D$8,1,'Start here'!$C$11),IF(H44="Bicycle",N(F44)*INDEX('Notes and sources'!$C$9:$D$9,1,'Start here'!$C$11),0))),2))</f>
        <v/>
      </c>
      <c r="L44" s="27"/>
      <c r="N44" s="2" t="n">
        <f aca="false">IF(I44="",0,MAX(0,MIN(N(F44),INDEX('Notes and sources'!$C$12:$D$12,1,'Start here'!$C$11)-(I44-N(F44)))))</f>
        <v>0</v>
      </c>
      <c r="O44" s="2" t="n">
        <f aca="false">IF(I44="",0,N(F44)-N44)</f>
        <v>0</v>
      </c>
      <c r="P44" s="2" t="str">
        <f aca="false">IF(A44="","",IF(AND(MONTH(A44)=4,DAY(A44)&lt;6),13,MOD(MONTH(A44)-4,12)+1))</f>
        <v/>
      </c>
    </row>
    <row r="45" customFormat="false" ht="15" hidden="false" customHeight="false" outlineLevel="0" collapsed="false">
      <c r="A45" s="21"/>
      <c r="B45" s="6"/>
      <c r="C45" s="6"/>
      <c r="D45" s="6"/>
      <c r="E45" s="6"/>
      <c r="F45" s="22"/>
      <c r="G45" s="23"/>
      <c r="H45" s="24" t="str">
        <f aca="false">IF(B45="","",IFERROR(INDEX('Start here'!$C$16:$C$20,MATCH(B45,'Start here'!$B$16:$B$20,0)),"Check vehicle"))</f>
        <v/>
      </c>
      <c r="I45" s="25" t="str">
        <f aca="false">IF(OR(F45="",H45&lt;&gt;"Car or van"),"",SUMIFS($F$6:F45,$H$6:H45,"Car or van"))</f>
        <v/>
      </c>
      <c r="J45" s="24" t="str">
        <f aca="false">IF(F45="","",IF(H45="Car or van",IF(O45=0,TEXT(INDEX('Notes and sources'!$C$6:$D$6,1,'Start here'!$C$11)*100,"0")&amp;"p",IF(N45=0,TEXT(INDEX('Notes and sources'!$C$7:$D$7,1,'Start here'!$C$11)*100,"0")&amp;"p",TEXT(INDEX('Notes and sources'!$C$6:$D$6,1,'Start here'!$C$11)*100,"0")&amp;"p/"&amp;TEXT(INDEX('Notes and sources'!$C$7:$D$7,1,'Start here'!$C$11)*100,"0")&amp;"p")),IF(H45="Motorcycle",TEXT(INDEX('Notes and sources'!$C$8:$D$8,1,'Start here'!$C$11)*100,"0")&amp;"p",IF(H45="Bicycle",TEXT(INDEX('Notes and sources'!$C$9:$D$9,1,'Start here'!$C$11)*100,"0")&amp;"p",""))))</f>
        <v/>
      </c>
      <c r="K45" s="26" t="str">
        <f aca="false">IF(F45="","",ROUND(IF(H45="Car or van",N45*INDEX('Notes and sources'!$C$6:$D$6,1,'Start here'!$C$11)+O45*INDEX('Notes and sources'!$C$7:$D$7,1,'Start here'!$C$11)+N(G45)*N(F45)*INDEX('Notes and sources'!$C$10:$D$10,1,'Start here'!$C$11),IF(H45="Motorcycle",N(F45)*INDEX('Notes and sources'!$C$8:$D$8,1,'Start here'!$C$11),IF(H45="Bicycle",N(F45)*INDEX('Notes and sources'!$C$9:$D$9,1,'Start here'!$C$11),0))),2))</f>
        <v/>
      </c>
      <c r="L45" s="27"/>
      <c r="N45" s="2" t="n">
        <f aca="false">IF(I45="",0,MAX(0,MIN(N(F45),INDEX('Notes and sources'!$C$12:$D$12,1,'Start here'!$C$11)-(I45-N(F45)))))</f>
        <v>0</v>
      </c>
      <c r="O45" s="2" t="n">
        <f aca="false">IF(I45="",0,N(F45)-N45)</f>
        <v>0</v>
      </c>
      <c r="P45" s="2" t="str">
        <f aca="false">IF(A45="","",IF(AND(MONTH(A45)=4,DAY(A45)&lt;6),13,MOD(MONTH(A45)-4,12)+1))</f>
        <v/>
      </c>
    </row>
    <row r="46" customFormat="false" ht="15" hidden="false" customHeight="false" outlineLevel="0" collapsed="false">
      <c r="A46" s="21"/>
      <c r="B46" s="6"/>
      <c r="C46" s="6"/>
      <c r="D46" s="6"/>
      <c r="E46" s="6"/>
      <c r="F46" s="22"/>
      <c r="G46" s="23"/>
      <c r="H46" s="24" t="str">
        <f aca="false">IF(B46="","",IFERROR(INDEX('Start here'!$C$16:$C$20,MATCH(B46,'Start here'!$B$16:$B$20,0)),"Check vehicle"))</f>
        <v/>
      </c>
      <c r="I46" s="25" t="str">
        <f aca="false">IF(OR(F46="",H46&lt;&gt;"Car or van"),"",SUMIFS($F$6:F46,$H$6:H46,"Car or van"))</f>
        <v/>
      </c>
      <c r="J46" s="24" t="str">
        <f aca="false">IF(F46="","",IF(H46="Car or van",IF(O46=0,TEXT(INDEX('Notes and sources'!$C$6:$D$6,1,'Start here'!$C$11)*100,"0")&amp;"p",IF(N46=0,TEXT(INDEX('Notes and sources'!$C$7:$D$7,1,'Start here'!$C$11)*100,"0")&amp;"p",TEXT(INDEX('Notes and sources'!$C$6:$D$6,1,'Start here'!$C$11)*100,"0")&amp;"p/"&amp;TEXT(INDEX('Notes and sources'!$C$7:$D$7,1,'Start here'!$C$11)*100,"0")&amp;"p")),IF(H46="Motorcycle",TEXT(INDEX('Notes and sources'!$C$8:$D$8,1,'Start here'!$C$11)*100,"0")&amp;"p",IF(H46="Bicycle",TEXT(INDEX('Notes and sources'!$C$9:$D$9,1,'Start here'!$C$11)*100,"0")&amp;"p",""))))</f>
        <v/>
      </c>
      <c r="K46" s="26" t="str">
        <f aca="false">IF(F46="","",ROUND(IF(H46="Car or van",N46*INDEX('Notes and sources'!$C$6:$D$6,1,'Start here'!$C$11)+O46*INDEX('Notes and sources'!$C$7:$D$7,1,'Start here'!$C$11)+N(G46)*N(F46)*INDEX('Notes and sources'!$C$10:$D$10,1,'Start here'!$C$11),IF(H46="Motorcycle",N(F46)*INDEX('Notes and sources'!$C$8:$D$8,1,'Start here'!$C$11),IF(H46="Bicycle",N(F46)*INDEX('Notes and sources'!$C$9:$D$9,1,'Start here'!$C$11),0))),2))</f>
        <v/>
      </c>
      <c r="L46" s="27"/>
      <c r="N46" s="2" t="n">
        <f aca="false">IF(I46="",0,MAX(0,MIN(N(F46),INDEX('Notes and sources'!$C$12:$D$12,1,'Start here'!$C$11)-(I46-N(F46)))))</f>
        <v>0</v>
      </c>
      <c r="O46" s="2" t="n">
        <f aca="false">IF(I46="",0,N(F46)-N46)</f>
        <v>0</v>
      </c>
      <c r="P46" s="2" t="str">
        <f aca="false">IF(A46="","",IF(AND(MONTH(A46)=4,DAY(A46)&lt;6),13,MOD(MONTH(A46)-4,12)+1))</f>
        <v/>
      </c>
    </row>
    <row r="47" customFormat="false" ht="15" hidden="false" customHeight="false" outlineLevel="0" collapsed="false">
      <c r="A47" s="21"/>
      <c r="B47" s="6"/>
      <c r="C47" s="6"/>
      <c r="D47" s="6"/>
      <c r="E47" s="6"/>
      <c r="F47" s="22"/>
      <c r="G47" s="23"/>
      <c r="H47" s="24" t="str">
        <f aca="false">IF(B47="","",IFERROR(INDEX('Start here'!$C$16:$C$20,MATCH(B47,'Start here'!$B$16:$B$20,0)),"Check vehicle"))</f>
        <v/>
      </c>
      <c r="I47" s="25" t="str">
        <f aca="false">IF(OR(F47="",H47&lt;&gt;"Car or van"),"",SUMIFS($F$6:F47,$H$6:H47,"Car or van"))</f>
        <v/>
      </c>
      <c r="J47" s="24" t="str">
        <f aca="false">IF(F47="","",IF(H47="Car or van",IF(O47=0,TEXT(INDEX('Notes and sources'!$C$6:$D$6,1,'Start here'!$C$11)*100,"0")&amp;"p",IF(N47=0,TEXT(INDEX('Notes and sources'!$C$7:$D$7,1,'Start here'!$C$11)*100,"0")&amp;"p",TEXT(INDEX('Notes and sources'!$C$6:$D$6,1,'Start here'!$C$11)*100,"0")&amp;"p/"&amp;TEXT(INDEX('Notes and sources'!$C$7:$D$7,1,'Start here'!$C$11)*100,"0")&amp;"p")),IF(H47="Motorcycle",TEXT(INDEX('Notes and sources'!$C$8:$D$8,1,'Start here'!$C$11)*100,"0")&amp;"p",IF(H47="Bicycle",TEXT(INDEX('Notes and sources'!$C$9:$D$9,1,'Start here'!$C$11)*100,"0")&amp;"p",""))))</f>
        <v/>
      </c>
      <c r="K47" s="26" t="str">
        <f aca="false">IF(F47="","",ROUND(IF(H47="Car or van",N47*INDEX('Notes and sources'!$C$6:$D$6,1,'Start here'!$C$11)+O47*INDEX('Notes and sources'!$C$7:$D$7,1,'Start here'!$C$11)+N(G47)*N(F47)*INDEX('Notes and sources'!$C$10:$D$10,1,'Start here'!$C$11),IF(H47="Motorcycle",N(F47)*INDEX('Notes and sources'!$C$8:$D$8,1,'Start here'!$C$11),IF(H47="Bicycle",N(F47)*INDEX('Notes and sources'!$C$9:$D$9,1,'Start here'!$C$11),0))),2))</f>
        <v/>
      </c>
      <c r="L47" s="27"/>
      <c r="N47" s="2" t="n">
        <f aca="false">IF(I47="",0,MAX(0,MIN(N(F47),INDEX('Notes and sources'!$C$12:$D$12,1,'Start here'!$C$11)-(I47-N(F47)))))</f>
        <v>0</v>
      </c>
      <c r="O47" s="2" t="n">
        <f aca="false">IF(I47="",0,N(F47)-N47)</f>
        <v>0</v>
      </c>
      <c r="P47" s="2" t="str">
        <f aca="false">IF(A47="","",IF(AND(MONTH(A47)=4,DAY(A47)&lt;6),13,MOD(MONTH(A47)-4,12)+1))</f>
        <v/>
      </c>
    </row>
    <row r="48" customFormat="false" ht="15" hidden="false" customHeight="false" outlineLevel="0" collapsed="false">
      <c r="A48" s="21"/>
      <c r="B48" s="6"/>
      <c r="C48" s="6"/>
      <c r="D48" s="6"/>
      <c r="E48" s="6"/>
      <c r="F48" s="22"/>
      <c r="G48" s="23"/>
      <c r="H48" s="24" t="str">
        <f aca="false">IF(B48="","",IFERROR(INDEX('Start here'!$C$16:$C$20,MATCH(B48,'Start here'!$B$16:$B$20,0)),"Check vehicle"))</f>
        <v/>
      </c>
      <c r="I48" s="25" t="str">
        <f aca="false">IF(OR(F48="",H48&lt;&gt;"Car or van"),"",SUMIFS($F$6:F48,$H$6:H48,"Car or van"))</f>
        <v/>
      </c>
      <c r="J48" s="24" t="str">
        <f aca="false">IF(F48="","",IF(H48="Car or van",IF(O48=0,TEXT(INDEX('Notes and sources'!$C$6:$D$6,1,'Start here'!$C$11)*100,"0")&amp;"p",IF(N48=0,TEXT(INDEX('Notes and sources'!$C$7:$D$7,1,'Start here'!$C$11)*100,"0")&amp;"p",TEXT(INDEX('Notes and sources'!$C$6:$D$6,1,'Start here'!$C$11)*100,"0")&amp;"p/"&amp;TEXT(INDEX('Notes and sources'!$C$7:$D$7,1,'Start here'!$C$11)*100,"0")&amp;"p")),IF(H48="Motorcycle",TEXT(INDEX('Notes and sources'!$C$8:$D$8,1,'Start here'!$C$11)*100,"0")&amp;"p",IF(H48="Bicycle",TEXT(INDEX('Notes and sources'!$C$9:$D$9,1,'Start here'!$C$11)*100,"0")&amp;"p",""))))</f>
        <v/>
      </c>
      <c r="K48" s="26" t="str">
        <f aca="false">IF(F48="","",ROUND(IF(H48="Car or van",N48*INDEX('Notes and sources'!$C$6:$D$6,1,'Start here'!$C$11)+O48*INDEX('Notes and sources'!$C$7:$D$7,1,'Start here'!$C$11)+N(G48)*N(F48)*INDEX('Notes and sources'!$C$10:$D$10,1,'Start here'!$C$11),IF(H48="Motorcycle",N(F48)*INDEX('Notes and sources'!$C$8:$D$8,1,'Start here'!$C$11),IF(H48="Bicycle",N(F48)*INDEX('Notes and sources'!$C$9:$D$9,1,'Start here'!$C$11),0))),2))</f>
        <v/>
      </c>
      <c r="L48" s="27"/>
      <c r="N48" s="2" t="n">
        <f aca="false">IF(I48="",0,MAX(0,MIN(N(F48),INDEX('Notes and sources'!$C$12:$D$12,1,'Start here'!$C$11)-(I48-N(F48)))))</f>
        <v>0</v>
      </c>
      <c r="O48" s="2" t="n">
        <f aca="false">IF(I48="",0,N(F48)-N48)</f>
        <v>0</v>
      </c>
      <c r="P48" s="2" t="str">
        <f aca="false">IF(A48="","",IF(AND(MONTH(A48)=4,DAY(A48)&lt;6),13,MOD(MONTH(A48)-4,12)+1))</f>
        <v/>
      </c>
    </row>
    <row r="49" customFormat="false" ht="15" hidden="false" customHeight="false" outlineLevel="0" collapsed="false">
      <c r="A49" s="21"/>
      <c r="B49" s="6"/>
      <c r="C49" s="6"/>
      <c r="D49" s="6"/>
      <c r="E49" s="6"/>
      <c r="F49" s="22"/>
      <c r="G49" s="23"/>
      <c r="H49" s="24" t="str">
        <f aca="false">IF(B49="","",IFERROR(INDEX('Start here'!$C$16:$C$20,MATCH(B49,'Start here'!$B$16:$B$20,0)),"Check vehicle"))</f>
        <v/>
      </c>
      <c r="I49" s="25" t="str">
        <f aca="false">IF(OR(F49="",H49&lt;&gt;"Car or van"),"",SUMIFS($F$6:F49,$H$6:H49,"Car or van"))</f>
        <v/>
      </c>
      <c r="J49" s="24" t="str">
        <f aca="false">IF(F49="","",IF(H49="Car or van",IF(O49=0,TEXT(INDEX('Notes and sources'!$C$6:$D$6,1,'Start here'!$C$11)*100,"0")&amp;"p",IF(N49=0,TEXT(INDEX('Notes and sources'!$C$7:$D$7,1,'Start here'!$C$11)*100,"0")&amp;"p",TEXT(INDEX('Notes and sources'!$C$6:$D$6,1,'Start here'!$C$11)*100,"0")&amp;"p/"&amp;TEXT(INDEX('Notes and sources'!$C$7:$D$7,1,'Start here'!$C$11)*100,"0")&amp;"p")),IF(H49="Motorcycle",TEXT(INDEX('Notes and sources'!$C$8:$D$8,1,'Start here'!$C$11)*100,"0")&amp;"p",IF(H49="Bicycle",TEXT(INDEX('Notes and sources'!$C$9:$D$9,1,'Start here'!$C$11)*100,"0")&amp;"p",""))))</f>
        <v/>
      </c>
      <c r="K49" s="26" t="str">
        <f aca="false">IF(F49="","",ROUND(IF(H49="Car or van",N49*INDEX('Notes and sources'!$C$6:$D$6,1,'Start here'!$C$11)+O49*INDEX('Notes and sources'!$C$7:$D$7,1,'Start here'!$C$11)+N(G49)*N(F49)*INDEX('Notes and sources'!$C$10:$D$10,1,'Start here'!$C$11),IF(H49="Motorcycle",N(F49)*INDEX('Notes and sources'!$C$8:$D$8,1,'Start here'!$C$11),IF(H49="Bicycle",N(F49)*INDEX('Notes and sources'!$C$9:$D$9,1,'Start here'!$C$11),0))),2))</f>
        <v/>
      </c>
      <c r="L49" s="27"/>
      <c r="N49" s="2" t="n">
        <f aca="false">IF(I49="",0,MAX(0,MIN(N(F49),INDEX('Notes and sources'!$C$12:$D$12,1,'Start here'!$C$11)-(I49-N(F49)))))</f>
        <v>0</v>
      </c>
      <c r="O49" s="2" t="n">
        <f aca="false">IF(I49="",0,N(F49)-N49)</f>
        <v>0</v>
      </c>
      <c r="P49" s="2" t="str">
        <f aca="false">IF(A49="","",IF(AND(MONTH(A49)=4,DAY(A49)&lt;6),13,MOD(MONTH(A49)-4,12)+1))</f>
        <v/>
      </c>
    </row>
    <row r="50" customFormat="false" ht="15" hidden="false" customHeight="false" outlineLevel="0" collapsed="false">
      <c r="A50" s="21"/>
      <c r="B50" s="6"/>
      <c r="C50" s="6"/>
      <c r="D50" s="6"/>
      <c r="E50" s="6"/>
      <c r="F50" s="22"/>
      <c r="G50" s="23"/>
      <c r="H50" s="24" t="str">
        <f aca="false">IF(B50="","",IFERROR(INDEX('Start here'!$C$16:$C$20,MATCH(B50,'Start here'!$B$16:$B$20,0)),"Check vehicle"))</f>
        <v/>
      </c>
      <c r="I50" s="25" t="str">
        <f aca="false">IF(OR(F50="",H50&lt;&gt;"Car or van"),"",SUMIFS($F$6:F50,$H$6:H50,"Car or van"))</f>
        <v/>
      </c>
      <c r="J50" s="24" t="str">
        <f aca="false">IF(F50="","",IF(H50="Car or van",IF(O50=0,TEXT(INDEX('Notes and sources'!$C$6:$D$6,1,'Start here'!$C$11)*100,"0")&amp;"p",IF(N50=0,TEXT(INDEX('Notes and sources'!$C$7:$D$7,1,'Start here'!$C$11)*100,"0")&amp;"p",TEXT(INDEX('Notes and sources'!$C$6:$D$6,1,'Start here'!$C$11)*100,"0")&amp;"p/"&amp;TEXT(INDEX('Notes and sources'!$C$7:$D$7,1,'Start here'!$C$11)*100,"0")&amp;"p")),IF(H50="Motorcycle",TEXT(INDEX('Notes and sources'!$C$8:$D$8,1,'Start here'!$C$11)*100,"0")&amp;"p",IF(H50="Bicycle",TEXT(INDEX('Notes and sources'!$C$9:$D$9,1,'Start here'!$C$11)*100,"0")&amp;"p",""))))</f>
        <v/>
      </c>
      <c r="K50" s="26" t="str">
        <f aca="false">IF(F50="","",ROUND(IF(H50="Car or van",N50*INDEX('Notes and sources'!$C$6:$D$6,1,'Start here'!$C$11)+O50*INDEX('Notes and sources'!$C$7:$D$7,1,'Start here'!$C$11)+N(G50)*N(F50)*INDEX('Notes and sources'!$C$10:$D$10,1,'Start here'!$C$11),IF(H50="Motorcycle",N(F50)*INDEX('Notes and sources'!$C$8:$D$8,1,'Start here'!$C$11),IF(H50="Bicycle",N(F50)*INDEX('Notes and sources'!$C$9:$D$9,1,'Start here'!$C$11),0))),2))</f>
        <v/>
      </c>
      <c r="L50" s="27"/>
      <c r="N50" s="2" t="n">
        <f aca="false">IF(I50="",0,MAX(0,MIN(N(F50),INDEX('Notes and sources'!$C$12:$D$12,1,'Start here'!$C$11)-(I50-N(F50)))))</f>
        <v>0</v>
      </c>
      <c r="O50" s="2" t="n">
        <f aca="false">IF(I50="",0,N(F50)-N50)</f>
        <v>0</v>
      </c>
      <c r="P50" s="2" t="str">
        <f aca="false">IF(A50="","",IF(AND(MONTH(A50)=4,DAY(A50)&lt;6),13,MOD(MONTH(A50)-4,12)+1))</f>
        <v/>
      </c>
    </row>
    <row r="51" customFormat="false" ht="15" hidden="false" customHeight="false" outlineLevel="0" collapsed="false">
      <c r="A51" s="21"/>
      <c r="B51" s="6"/>
      <c r="C51" s="6"/>
      <c r="D51" s="6"/>
      <c r="E51" s="6"/>
      <c r="F51" s="22"/>
      <c r="G51" s="23"/>
      <c r="H51" s="24" t="str">
        <f aca="false">IF(B51="","",IFERROR(INDEX('Start here'!$C$16:$C$20,MATCH(B51,'Start here'!$B$16:$B$20,0)),"Check vehicle"))</f>
        <v/>
      </c>
      <c r="I51" s="25" t="str">
        <f aca="false">IF(OR(F51="",H51&lt;&gt;"Car or van"),"",SUMIFS($F$6:F51,$H$6:H51,"Car or van"))</f>
        <v/>
      </c>
      <c r="J51" s="24" t="str">
        <f aca="false">IF(F51="","",IF(H51="Car or van",IF(O51=0,TEXT(INDEX('Notes and sources'!$C$6:$D$6,1,'Start here'!$C$11)*100,"0")&amp;"p",IF(N51=0,TEXT(INDEX('Notes and sources'!$C$7:$D$7,1,'Start here'!$C$11)*100,"0")&amp;"p",TEXT(INDEX('Notes and sources'!$C$6:$D$6,1,'Start here'!$C$11)*100,"0")&amp;"p/"&amp;TEXT(INDEX('Notes and sources'!$C$7:$D$7,1,'Start here'!$C$11)*100,"0")&amp;"p")),IF(H51="Motorcycle",TEXT(INDEX('Notes and sources'!$C$8:$D$8,1,'Start here'!$C$11)*100,"0")&amp;"p",IF(H51="Bicycle",TEXT(INDEX('Notes and sources'!$C$9:$D$9,1,'Start here'!$C$11)*100,"0")&amp;"p",""))))</f>
        <v/>
      </c>
      <c r="K51" s="26" t="str">
        <f aca="false">IF(F51="","",ROUND(IF(H51="Car or van",N51*INDEX('Notes and sources'!$C$6:$D$6,1,'Start here'!$C$11)+O51*INDEX('Notes and sources'!$C$7:$D$7,1,'Start here'!$C$11)+N(G51)*N(F51)*INDEX('Notes and sources'!$C$10:$D$10,1,'Start here'!$C$11),IF(H51="Motorcycle",N(F51)*INDEX('Notes and sources'!$C$8:$D$8,1,'Start here'!$C$11),IF(H51="Bicycle",N(F51)*INDEX('Notes and sources'!$C$9:$D$9,1,'Start here'!$C$11),0))),2))</f>
        <v/>
      </c>
      <c r="L51" s="27"/>
      <c r="N51" s="2" t="n">
        <f aca="false">IF(I51="",0,MAX(0,MIN(N(F51),INDEX('Notes and sources'!$C$12:$D$12,1,'Start here'!$C$11)-(I51-N(F51)))))</f>
        <v>0</v>
      </c>
      <c r="O51" s="2" t="n">
        <f aca="false">IF(I51="",0,N(F51)-N51)</f>
        <v>0</v>
      </c>
      <c r="P51" s="2" t="str">
        <f aca="false">IF(A51="","",IF(AND(MONTH(A51)=4,DAY(A51)&lt;6),13,MOD(MONTH(A51)-4,12)+1))</f>
        <v/>
      </c>
    </row>
    <row r="52" customFormat="false" ht="15" hidden="false" customHeight="false" outlineLevel="0" collapsed="false">
      <c r="A52" s="21"/>
      <c r="B52" s="6"/>
      <c r="C52" s="6"/>
      <c r="D52" s="6"/>
      <c r="E52" s="6"/>
      <c r="F52" s="22"/>
      <c r="G52" s="23"/>
      <c r="H52" s="24" t="str">
        <f aca="false">IF(B52="","",IFERROR(INDEX('Start here'!$C$16:$C$20,MATCH(B52,'Start here'!$B$16:$B$20,0)),"Check vehicle"))</f>
        <v/>
      </c>
      <c r="I52" s="25" t="str">
        <f aca="false">IF(OR(F52="",H52&lt;&gt;"Car or van"),"",SUMIFS($F$6:F52,$H$6:H52,"Car or van"))</f>
        <v/>
      </c>
      <c r="J52" s="24" t="str">
        <f aca="false">IF(F52="","",IF(H52="Car or van",IF(O52=0,TEXT(INDEX('Notes and sources'!$C$6:$D$6,1,'Start here'!$C$11)*100,"0")&amp;"p",IF(N52=0,TEXT(INDEX('Notes and sources'!$C$7:$D$7,1,'Start here'!$C$11)*100,"0")&amp;"p",TEXT(INDEX('Notes and sources'!$C$6:$D$6,1,'Start here'!$C$11)*100,"0")&amp;"p/"&amp;TEXT(INDEX('Notes and sources'!$C$7:$D$7,1,'Start here'!$C$11)*100,"0")&amp;"p")),IF(H52="Motorcycle",TEXT(INDEX('Notes and sources'!$C$8:$D$8,1,'Start here'!$C$11)*100,"0")&amp;"p",IF(H52="Bicycle",TEXT(INDEX('Notes and sources'!$C$9:$D$9,1,'Start here'!$C$11)*100,"0")&amp;"p",""))))</f>
        <v/>
      </c>
      <c r="K52" s="26" t="str">
        <f aca="false">IF(F52="","",ROUND(IF(H52="Car or van",N52*INDEX('Notes and sources'!$C$6:$D$6,1,'Start here'!$C$11)+O52*INDEX('Notes and sources'!$C$7:$D$7,1,'Start here'!$C$11)+N(G52)*N(F52)*INDEX('Notes and sources'!$C$10:$D$10,1,'Start here'!$C$11),IF(H52="Motorcycle",N(F52)*INDEX('Notes and sources'!$C$8:$D$8,1,'Start here'!$C$11),IF(H52="Bicycle",N(F52)*INDEX('Notes and sources'!$C$9:$D$9,1,'Start here'!$C$11),0))),2))</f>
        <v/>
      </c>
      <c r="L52" s="27"/>
      <c r="N52" s="2" t="n">
        <f aca="false">IF(I52="",0,MAX(0,MIN(N(F52),INDEX('Notes and sources'!$C$12:$D$12,1,'Start here'!$C$11)-(I52-N(F52)))))</f>
        <v>0</v>
      </c>
      <c r="O52" s="2" t="n">
        <f aca="false">IF(I52="",0,N(F52)-N52)</f>
        <v>0</v>
      </c>
      <c r="P52" s="2" t="str">
        <f aca="false">IF(A52="","",IF(AND(MONTH(A52)=4,DAY(A52)&lt;6),13,MOD(MONTH(A52)-4,12)+1))</f>
        <v/>
      </c>
    </row>
    <row r="53" customFormat="false" ht="15" hidden="false" customHeight="false" outlineLevel="0" collapsed="false">
      <c r="A53" s="21"/>
      <c r="B53" s="6"/>
      <c r="C53" s="6"/>
      <c r="D53" s="6"/>
      <c r="E53" s="6"/>
      <c r="F53" s="22"/>
      <c r="G53" s="23"/>
      <c r="H53" s="24" t="str">
        <f aca="false">IF(B53="","",IFERROR(INDEX('Start here'!$C$16:$C$20,MATCH(B53,'Start here'!$B$16:$B$20,0)),"Check vehicle"))</f>
        <v/>
      </c>
      <c r="I53" s="25" t="str">
        <f aca="false">IF(OR(F53="",H53&lt;&gt;"Car or van"),"",SUMIFS($F$6:F53,$H$6:H53,"Car or van"))</f>
        <v/>
      </c>
      <c r="J53" s="24" t="str">
        <f aca="false">IF(F53="","",IF(H53="Car or van",IF(O53=0,TEXT(INDEX('Notes and sources'!$C$6:$D$6,1,'Start here'!$C$11)*100,"0")&amp;"p",IF(N53=0,TEXT(INDEX('Notes and sources'!$C$7:$D$7,1,'Start here'!$C$11)*100,"0")&amp;"p",TEXT(INDEX('Notes and sources'!$C$6:$D$6,1,'Start here'!$C$11)*100,"0")&amp;"p/"&amp;TEXT(INDEX('Notes and sources'!$C$7:$D$7,1,'Start here'!$C$11)*100,"0")&amp;"p")),IF(H53="Motorcycle",TEXT(INDEX('Notes and sources'!$C$8:$D$8,1,'Start here'!$C$11)*100,"0")&amp;"p",IF(H53="Bicycle",TEXT(INDEX('Notes and sources'!$C$9:$D$9,1,'Start here'!$C$11)*100,"0")&amp;"p",""))))</f>
        <v/>
      </c>
      <c r="K53" s="26" t="str">
        <f aca="false">IF(F53="","",ROUND(IF(H53="Car or van",N53*INDEX('Notes and sources'!$C$6:$D$6,1,'Start here'!$C$11)+O53*INDEX('Notes and sources'!$C$7:$D$7,1,'Start here'!$C$11)+N(G53)*N(F53)*INDEX('Notes and sources'!$C$10:$D$10,1,'Start here'!$C$11),IF(H53="Motorcycle",N(F53)*INDEX('Notes and sources'!$C$8:$D$8,1,'Start here'!$C$11),IF(H53="Bicycle",N(F53)*INDEX('Notes and sources'!$C$9:$D$9,1,'Start here'!$C$11),0))),2))</f>
        <v/>
      </c>
      <c r="L53" s="27"/>
      <c r="N53" s="2" t="n">
        <f aca="false">IF(I53="",0,MAX(0,MIN(N(F53),INDEX('Notes and sources'!$C$12:$D$12,1,'Start here'!$C$11)-(I53-N(F53)))))</f>
        <v>0</v>
      </c>
      <c r="O53" s="2" t="n">
        <f aca="false">IF(I53="",0,N(F53)-N53)</f>
        <v>0</v>
      </c>
      <c r="P53" s="2" t="str">
        <f aca="false">IF(A53="","",IF(AND(MONTH(A53)=4,DAY(A53)&lt;6),13,MOD(MONTH(A53)-4,12)+1))</f>
        <v/>
      </c>
    </row>
    <row r="54" customFormat="false" ht="15" hidden="false" customHeight="false" outlineLevel="0" collapsed="false">
      <c r="A54" s="21"/>
      <c r="B54" s="6"/>
      <c r="C54" s="6"/>
      <c r="D54" s="6"/>
      <c r="E54" s="6"/>
      <c r="F54" s="22"/>
      <c r="G54" s="23"/>
      <c r="H54" s="24" t="str">
        <f aca="false">IF(B54="","",IFERROR(INDEX('Start here'!$C$16:$C$20,MATCH(B54,'Start here'!$B$16:$B$20,0)),"Check vehicle"))</f>
        <v/>
      </c>
      <c r="I54" s="25" t="str">
        <f aca="false">IF(OR(F54="",H54&lt;&gt;"Car or van"),"",SUMIFS($F$6:F54,$H$6:H54,"Car or van"))</f>
        <v/>
      </c>
      <c r="J54" s="24" t="str">
        <f aca="false">IF(F54="","",IF(H54="Car or van",IF(O54=0,TEXT(INDEX('Notes and sources'!$C$6:$D$6,1,'Start here'!$C$11)*100,"0")&amp;"p",IF(N54=0,TEXT(INDEX('Notes and sources'!$C$7:$D$7,1,'Start here'!$C$11)*100,"0")&amp;"p",TEXT(INDEX('Notes and sources'!$C$6:$D$6,1,'Start here'!$C$11)*100,"0")&amp;"p/"&amp;TEXT(INDEX('Notes and sources'!$C$7:$D$7,1,'Start here'!$C$11)*100,"0")&amp;"p")),IF(H54="Motorcycle",TEXT(INDEX('Notes and sources'!$C$8:$D$8,1,'Start here'!$C$11)*100,"0")&amp;"p",IF(H54="Bicycle",TEXT(INDEX('Notes and sources'!$C$9:$D$9,1,'Start here'!$C$11)*100,"0")&amp;"p",""))))</f>
        <v/>
      </c>
      <c r="K54" s="26" t="str">
        <f aca="false">IF(F54="","",ROUND(IF(H54="Car or van",N54*INDEX('Notes and sources'!$C$6:$D$6,1,'Start here'!$C$11)+O54*INDEX('Notes and sources'!$C$7:$D$7,1,'Start here'!$C$11)+N(G54)*N(F54)*INDEX('Notes and sources'!$C$10:$D$10,1,'Start here'!$C$11),IF(H54="Motorcycle",N(F54)*INDEX('Notes and sources'!$C$8:$D$8,1,'Start here'!$C$11),IF(H54="Bicycle",N(F54)*INDEX('Notes and sources'!$C$9:$D$9,1,'Start here'!$C$11),0))),2))</f>
        <v/>
      </c>
      <c r="L54" s="27"/>
      <c r="N54" s="2" t="n">
        <f aca="false">IF(I54="",0,MAX(0,MIN(N(F54),INDEX('Notes and sources'!$C$12:$D$12,1,'Start here'!$C$11)-(I54-N(F54)))))</f>
        <v>0</v>
      </c>
      <c r="O54" s="2" t="n">
        <f aca="false">IF(I54="",0,N(F54)-N54)</f>
        <v>0</v>
      </c>
      <c r="P54" s="2" t="str">
        <f aca="false">IF(A54="","",IF(AND(MONTH(A54)=4,DAY(A54)&lt;6),13,MOD(MONTH(A54)-4,12)+1))</f>
        <v/>
      </c>
    </row>
    <row r="55" customFormat="false" ht="15" hidden="false" customHeight="false" outlineLevel="0" collapsed="false">
      <c r="A55" s="21"/>
      <c r="B55" s="6"/>
      <c r="C55" s="6"/>
      <c r="D55" s="6"/>
      <c r="E55" s="6"/>
      <c r="F55" s="22"/>
      <c r="G55" s="23"/>
      <c r="H55" s="24" t="str">
        <f aca="false">IF(B55="","",IFERROR(INDEX('Start here'!$C$16:$C$20,MATCH(B55,'Start here'!$B$16:$B$20,0)),"Check vehicle"))</f>
        <v/>
      </c>
      <c r="I55" s="25" t="str">
        <f aca="false">IF(OR(F55="",H55&lt;&gt;"Car or van"),"",SUMIFS($F$6:F55,$H$6:H55,"Car or van"))</f>
        <v/>
      </c>
      <c r="J55" s="24" t="str">
        <f aca="false">IF(F55="","",IF(H55="Car or van",IF(O55=0,TEXT(INDEX('Notes and sources'!$C$6:$D$6,1,'Start here'!$C$11)*100,"0")&amp;"p",IF(N55=0,TEXT(INDEX('Notes and sources'!$C$7:$D$7,1,'Start here'!$C$11)*100,"0")&amp;"p",TEXT(INDEX('Notes and sources'!$C$6:$D$6,1,'Start here'!$C$11)*100,"0")&amp;"p/"&amp;TEXT(INDEX('Notes and sources'!$C$7:$D$7,1,'Start here'!$C$11)*100,"0")&amp;"p")),IF(H55="Motorcycle",TEXT(INDEX('Notes and sources'!$C$8:$D$8,1,'Start here'!$C$11)*100,"0")&amp;"p",IF(H55="Bicycle",TEXT(INDEX('Notes and sources'!$C$9:$D$9,1,'Start here'!$C$11)*100,"0")&amp;"p",""))))</f>
        <v/>
      </c>
      <c r="K55" s="26" t="str">
        <f aca="false">IF(F55="","",ROUND(IF(H55="Car or van",N55*INDEX('Notes and sources'!$C$6:$D$6,1,'Start here'!$C$11)+O55*INDEX('Notes and sources'!$C$7:$D$7,1,'Start here'!$C$11)+N(G55)*N(F55)*INDEX('Notes and sources'!$C$10:$D$10,1,'Start here'!$C$11),IF(H55="Motorcycle",N(F55)*INDEX('Notes and sources'!$C$8:$D$8,1,'Start here'!$C$11),IF(H55="Bicycle",N(F55)*INDEX('Notes and sources'!$C$9:$D$9,1,'Start here'!$C$11),0))),2))</f>
        <v/>
      </c>
      <c r="L55" s="27"/>
      <c r="N55" s="2" t="n">
        <f aca="false">IF(I55="",0,MAX(0,MIN(N(F55),INDEX('Notes and sources'!$C$12:$D$12,1,'Start here'!$C$11)-(I55-N(F55)))))</f>
        <v>0</v>
      </c>
      <c r="O55" s="2" t="n">
        <f aca="false">IF(I55="",0,N(F55)-N55)</f>
        <v>0</v>
      </c>
      <c r="P55" s="2" t="str">
        <f aca="false">IF(A55="","",IF(AND(MONTH(A55)=4,DAY(A55)&lt;6),13,MOD(MONTH(A55)-4,12)+1))</f>
        <v/>
      </c>
    </row>
    <row r="56" customFormat="false" ht="15" hidden="false" customHeight="false" outlineLevel="0" collapsed="false">
      <c r="A56" s="21"/>
      <c r="B56" s="6"/>
      <c r="C56" s="6"/>
      <c r="D56" s="6"/>
      <c r="E56" s="6"/>
      <c r="F56" s="22"/>
      <c r="G56" s="23"/>
      <c r="H56" s="24" t="str">
        <f aca="false">IF(B56="","",IFERROR(INDEX('Start here'!$C$16:$C$20,MATCH(B56,'Start here'!$B$16:$B$20,0)),"Check vehicle"))</f>
        <v/>
      </c>
      <c r="I56" s="25" t="str">
        <f aca="false">IF(OR(F56="",H56&lt;&gt;"Car or van"),"",SUMIFS($F$6:F56,$H$6:H56,"Car or van"))</f>
        <v/>
      </c>
      <c r="J56" s="24" t="str">
        <f aca="false">IF(F56="","",IF(H56="Car or van",IF(O56=0,TEXT(INDEX('Notes and sources'!$C$6:$D$6,1,'Start here'!$C$11)*100,"0")&amp;"p",IF(N56=0,TEXT(INDEX('Notes and sources'!$C$7:$D$7,1,'Start here'!$C$11)*100,"0")&amp;"p",TEXT(INDEX('Notes and sources'!$C$6:$D$6,1,'Start here'!$C$11)*100,"0")&amp;"p/"&amp;TEXT(INDEX('Notes and sources'!$C$7:$D$7,1,'Start here'!$C$11)*100,"0")&amp;"p")),IF(H56="Motorcycle",TEXT(INDEX('Notes and sources'!$C$8:$D$8,1,'Start here'!$C$11)*100,"0")&amp;"p",IF(H56="Bicycle",TEXT(INDEX('Notes and sources'!$C$9:$D$9,1,'Start here'!$C$11)*100,"0")&amp;"p",""))))</f>
        <v/>
      </c>
      <c r="K56" s="26" t="str">
        <f aca="false">IF(F56="","",ROUND(IF(H56="Car or van",N56*INDEX('Notes and sources'!$C$6:$D$6,1,'Start here'!$C$11)+O56*INDEX('Notes and sources'!$C$7:$D$7,1,'Start here'!$C$11)+N(G56)*N(F56)*INDEX('Notes and sources'!$C$10:$D$10,1,'Start here'!$C$11),IF(H56="Motorcycle",N(F56)*INDEX('Notes and sources'!$C$8:$D$8,1,'Start here'!$C$11),IF(H56="Bicycle",N(F56)*INDEX('Notes and sources'!$C$9:$D$9,1,'Start here'!$C$11),0))),2))</f>
        <v/>
      </c>
      <c r="L56" s="27"/>
      <c r="N56" s="2" t="n">
        <f aca="false">IF(I56="",0,MAX(0,MIN(N(F56),INDEX('Notes and sources'!$C$12:$D$12,1,'Start here'!$C$11)-(I56-N(F56)))))</f>
        <v>0</v>
      </c>
      <c r="O56" s="2" t="n">
        <f aca="false">IF(I56="",0,N(F56)-N56)</f>
        <v>0</v>
      </c>
      <c r="P56" s="2" t="str">
        <f aca="false">IF(A56="","",IF(AND(MONTH(A56)=4,DAY(A56)&lt;6),13,MOD(MONTH(A56)-4,12)+1))</f>
        <v/>
      </c>
    </row>
    <row r="57" customFormat="false" ht="15" hidden="false" customHeight="false" outlineLevel="0" collapsed="false">
      <c r="A57" s="21"/>
      <c r="B57" s="6"/>
      <c r="C57" s="6"/>
      <c r="D57" s="6"/>
      <c r="E57" s="6"/>
      <c r="F57" s="22"/>
      <c r="G57" s="23"/>
      <c r="H57" s="24" t="str">
        <f aca="false">IF(B57="","",IFERROR(INDEX('Start here'!$C$16:$C$20,MATCH(B57,'Start here'!$B$16:$B$20,0)),"Check vehicle"))</f>
        <v/>
      </c>
      <c r="I57" s="25" t="str">
        <f aca="false">IF(OR(F57="",H57&lt;&gt;"Car or van"),"",SUMIFS($F$6:F57,$H$6:H57,"Car or van"))</f>
        <v/>
      </c>
      <c r="J57" s="24" t="str">
        <f aca="false">IF(F57="","",IF(H57="Car or van",IF(O57=0,TEXT(INDEX('Notes and sources'!$C$6:$D$6,1,'Start here'!$C$11)*100,"0")&amp;"p",IF(N57=0,TEXT(INDEX('Notes and sources'!$C$7:$D$7,1,'Start here'!$C$11)*100,"0")&amp;"p",TEXT(INDEX('Notes and sources'!$C$6:$D$6,1,'Start here'!$C$11)*100,"0")&amp;"p/"&amp;TEXT(INDEX('Notes and sources'!$C$7:$D$7,1,'Start here'!$C$11)*100,"0")&amp;"p")),IF(H57="Motorcycle",TEXT(INDEX('Notes and sources'!$C$8:$D$8,1,'Start here'!$C$11)*100,"0")&amp;"p",IF(H57="Bicycle",TEXT(INDEX('Notes and sources'!$C$9:$D$9,1,'Start here'!$C$11)*100,"0")&amp;"p",""))))</f>
        <v/>
      </c>
      <c r="K57" s="26" t="str">
        <f aca="false">IF(F57="","",ROUND(IF(H57="Car or van",N57*INDEX('Notes and sources'!$C$6:$D$6,1,'Start here'!$C$11)+O57*INDEX('Notes and sources'!$C$7:$D$7,1,'Start here'!$C$11)+N(G57)*N(F57)*INDEX('Notes and sources'!$C$10:$D$10,1,'Start here'!$C$11),IF(H57="Motorcycle",N(F57)*INDEX('Notes and sources'!$C$8:$D$8,1,'Start here'!$C$11),IF(H57="Bicycle",N(F57)*INDEX('Notes and sources'!$C$9:$D$9,1,'Start here'!$C$11),0))),2))</f>
        <v/>
      </c>
      <c r="L57" s="27"/>
      <c r="N57" s="2" t="n">
        <f aca="false">IF(I57="",0,MAX(0,MIN(N(F57),INDEX('Notes and sources'!$C$12:$D$12,1,'Start here'!$C$11)-(I57-N(F57)))))</f>
        <v>0</v>
      </c>
      <c r="O57" s="2" t="n">
        <f aca="false">IF(I57="",0,N(F57)-N57)</f>
        <v>0</v>
      </c>
      <c r="P57" s="2" t="str">
        <f aca="false">IF(A57="","",IF(AND(MONTH(A57)=4,DAY(A57)&lt;6),13,MOD(MONTH(A57)-4,12)+1))</f>
        <v/>
      </c>
    </row>
    <row r="58" customFormat="false" ht="15" hidden="false" customHeight="false" outlineLevel="0" collapsed="false">
      <c r="A58" s="21"/>
      <c r="B58" s="6"/>
      <c r="C58" s="6"/>
      <c r="D58" s="6"/>
      <c r="E58" s="6"/>
      <c r="F58" s="22"/>
      <c r="G58" s="23"/>
      <c r="H58" s="24" t="str">
        <f aca="false">IF(B58="","",IFERROR(INDEX('Start here'!$C$16:$C$20,MATCH(B58,'Start here'!$B$16:$B$20,0)),"Check vehicle"))</f>
        <v/>
      </c>
      <c r="I58" s="25" t="str">
        <f aca="false">IF(OR(F58="",H58&lt;&gt;"Car or van"),"",SUMIFS($F$6:F58,$H$6:H58,"Car or van"))</f>
        <v/>
      </c>
      <c r="J58" s="24" t="str">
        <f aca="false">IF(F58="","",IF(H58="Car or van",IF(O58=0,TEXT(INDEX('Notes and sources'!$C$6:$D$6,1,'Start here'!$C$11)*100,"0")&amp;"p",IF(N58=0,TEXT(INDEX('Notes and sources'!$C$7:$D$7,1,'Start here'!$C$11)*100,"0")&amp;"p",TEXT(INDEX('Notes and sources'!$C$6:$D$6,1,'Start here'!$C$11)*100,"0")&amp;"p/"&amp;TEXT(INDEX('Notes and sources'!$C$7:$D$7,1,'Start here'!$C$11)*100,"0")&amp;"p")),IF(H58="Motorcycle",TEXT(INDEX('Notes and sources'!$C$8:$D$8,1,'Start here'!$C$11)*100,"0")&amp;"p",IF(H58="Bicycle",TEXT(INDEX('Notes and sources'!$C$9:$D$9,1,'Start here'!$C$11)*100,"0")&amp;"p",""))))</f>
        <v/>
      </c>
      <c r="K58" s="26" t="str">
        <f aca="false">IF(F58="","",ROUND(IF(H58="Car or van",N58*INDEX('Notes and sources'!$C$6:$D$6,1,'Start here'!$C$11)+O58*INDEX('Notes and sources'!$C$7:$D$7,1,'Start here'!$C$11)+N(G58)*N(F58)*INDEX('Notes and sources'!$C$10:$D$10,1,'Start here'!$C$11),IF(H58="Motorcycle",N(F58)*INDEX('Notes and sources'!$C$8:$D$8,1,'Start here'!$C$11),IF(H58="Bicycle",N(F58)*INDEX('Notes and sources'!$C$9:$D$9,1,'Start here'!$C$11),0))),2))</f>
        <v/>
      </c>
      <c r="L58" s="27"/>
      <c r="N58" s="2" t="n">
        <f aca="false">IF(I58="",0,MAX(0,MIN(N(F58),INDEX('Notes and sources'!$C$12:$D$12,1,'Start here'!$C$11)-(I58-N(F58)))))</f>
        <v>0</v>
      </c>
      <c r="O58" s="2" t="n">
        <f aca="false">IF(I58="",0,N(F58)-N58)</f>
        <v>0</v>
      </c>
      <c r="P58" s="2" t="str">
        <f aca="false">IF(A58="","",IF(AND(MONTH(A58)=4,DAY(A58)&lt;6),13,MOD(MONTH(A58)-4,12)+1))</f>
        <v/>
      </c>
    </row>
    <row r="59" customFormat="false" ht="15" hidden="false" customHeight="false" outlineLevel="0" collapsed="false">
      <c r="A59" s="21"/>
      <c r="B59" s="6"/>
      <c r="C59" s="6"/>
      <c r="D59" s="6"/>
      <c r="E59" s="6"/>
      <c r="F59" s="22"/>
      <c r="G59" s="23"/>
      <c r="H59" s="24" t="str">
        <f aca="false">IF(B59="","",IFERROR(INDEX('Start here'!$C$16:$C$20,MATCH(B59,'Start here'!$B$16:$B$20,0)),"Check vehicle"))</f>
        <v/>
      </c>
      <c r="I59" s="25" t="str">
        <f aca="false">IF(OR(F59="",H59&lt;&gt;"Car or van"),"",SUMIFS($F$6:F59,$H$6:H59,"Car or van"))</f>
        <v/>
      </c>
      <c r="J59" s="24" t="str">
        <f aca="false">IF(F59="","",IF(H59="Car or van",IF(O59=0,TEXT(INDEX('Notes and sources'!$C$6:$D$6,1,'Start here'!$C$11)*100,"0")&amp;"p",IF(N59=0,TEXT(INDEX('Notes and sources'!$C$7:$D$7,1,'Start here'!$C$11)*100,"0")&amp;"p",TEXT(INDEX('Notes and sources'!$C$6:$D$6,1,'Start here'!$C$11)*100,"0")&amp;"p/"&amp;TEXT(INDEX('Notes and sources'!$C$7:$D$7,1,'Start here'!$C$11)*100,"0")&amp;"p")),IF(H59="Motorcycle",TEXT(INDEX('Notes and sources'!$C$8:$D$8,1,'Start here'!$C$11)*100,"0")&amp;"p",IF(H59="Bicycle",TEXT(INDEX('Notes and sources'!$C$9:$D$9,1,'Start here'!$C$11)*100,"0")&amp;"p",""))))</f>
        <v/>
      </c>
      <c r="K59" s="26" t="str">
        <f aca="false">IF(F59="","",ROUND(IF(H59="Car or van",N59*INDEX('Notes and sources'!$C$6:$D$6,1,'Start here'!$C$11)+O59*INDEX('Notes and sources'!$C$7:$D$7,1,'Start here'!$C$11)+N(G59)*N(F59)*INDEX('Notes and sources'!$C$10:$D$10,1,'Start here'!$C$11),IF(H59="Motorcycle",N(F59)*INDEX('Notes and sources'!$C$8:$D$8,1,'Start here'!$C$11),IF(H59="Bicycle",N(F59)*INDEX('Notes and sources'!$C$9:$D$9,1,'Start here'!$C$11),0))),2))</f>
        <v/>
      </c>
      <c r="L59" s="27"/>
      <c r="N59" s="2" t="n">
        <f aca="false">IF(I59="",0,MAX(0,MIN(N(F59),INDEX('Notes and sources'!$C$12:$D$12,1,'Start here'!$C$11)-(I59-N(F59)))))</f>
        <v>0</v>
      </c>
      <c r="O59" s="2" t="n">
        <f aca="false">IF(I59="",0,N(F59)-N59)</f>
        <v>0</v>
      </c>
      <c r="P59" s="2" t="str">
        <f aca="false">IF(A59="","",IF(AND(MONTH(A59)=4,DAY(A59)&lt;6),13,MOD(MONTH(A59)-4,12)+1))</f>
        <v/>
      </c>
    </row>
    <row r="60" customFormat="false" ht="15" hidden="false" customHeight="false" outlineLevel="0" collapsed="false">
      <c r="A60" s="21"/>
      <c r="B60" s="6"/>
      <c r="C60" s="6"/>
      <c r="D60" s="6"/>
      <c r="E60" s="6"/>
      <c r="F60" s="22"/>
      <c r="G60" s="23"/>
      <c r="H60" s="24" t="str">
        <f aca="false">IF(B60="","",IFERROR(INDEX('Start here'!$C$16:$C$20,MATCH(B60,'Start here'!$B$16:$B$20,0)),"Check vehicle"))</f>
        <v/>
      </c>
      <c r="I60" s="25" t="str">
        <f aca="false">IF(OR(F60="",H60&lt;&gt;"Car or van"),"",SUMIFS($F$6:F60,$H$6:H60,"Car or van"))</f>
        <v/>
      </c>
      <c r="J60" s="24" t="str">
        <f aca="false">IF(F60="","",IF(H60="Car or van",IF(O60=0,TEXT(INDEX('Notes and sources'!$C$6:$D$6,1,'Start here'!$C$11)*100,"0")&amp;"p",IF(N60=0,TEXT(INDEX('Notes and sources'!$C$7:$D$7,1,'Start here'!$C$11)*100,"0")&amp;"p",TEXT(INDEX('Notes and sources'!$C$6:$D$6,1,'Start here'!$C$11)*100,"0")&amp;"p/"&amp;TEXT(INDEX('Notes and sources'!$C$7:$D$7,1,'Start here'!$C$11)*100,"0")&amp;"p")),IF(H60="Motorcycle",TEXT(INDEX('Notes and sources'!$C$8:$D$8,1,'Start here'!$C$11)*100,"0")&amp;"p",IF(H60="Bicycle",TEXT(INDEX('Notes and sources'!$C$9:$D$9,1,'Start here'!$C$11)*100,"0")&amp;"p",""))))</f>
        <v/>
      </c>
      <c r="K60" s="26" t="str">
        <f aca="false">IF(F60="","",ROUND(IF(H60="Car or van",N60*INDEX('Notes and sources'!$C$6:$D$6,1,'Start here'!$C$11)+O60*INDEX('Notes and sources'!$C$7:$D$7,1,'Start here'!$C$11)+N(G60)*N(F60)*INDEX('Notes and sources'!$C$10:$D$10,1,'Start here'!$C$11),IF(H60="Motorcycle",N(F60)*INDEX('Notes and sources'!$C$8:$D$8,1,'Start here'!$C$11),IF(H60="Bicycle",N(F60)*INDEX('Notes and sources'!$C$9:$D$9,1,'Start here'!$C$11),0))),2))</f>
        <v/>
      </c>
      <c r="L60" s="27"/>
      <c r="N60" s="2" t="n">
        <f aca="false">IF(I60="",0,MAX(0,MIN(N(F60),INDEX('Notes and sources'!$C$12:$D$12,1,'Start here'!$C$11)-(I60-N(F60)))))</f>
        <v>0</v>
      </c>
      <c r="O60" s="2" t="n">
        <f aca="false">IF(I60="",0,N(F60)-N60)</f>
        <v>0</v>
      </c>
      <c r="P60" s="2" t="str">
        <f aca="false">IF(A60="","",IF(AND(MONTH(A60)=4,DAY(A60)&lt;6),13,MOD(MONTH(A60)-4,12)+1))</f>
        <v/>
      </c>
    </row>
    <row r="61" customFormat="false" ht="15" hidden="false" customHeight="false" outlineLevel="0" collapsed="false">
      <c r="A61" s="21"/>
      <c r="B61" s="6"/>
      <c r="C61" s="6"/>
      <c r="D61" s="6"/>
      <c r="E61" s="6"/>
      <c r="F61" s="22"/>
      <c r="G61" s="23"/>
      <c r="H61" s="24" t="str">
        <f aca="false">IF(B61="","",IFERROR(INDEX('Start here'!$C$16:$C$20,MATCH(B61,'Start here'!$B$16:$B$20,0)),"Check vehicle"))</f>
        <v/>
      </c>
      <c r="I61" s="25" t="str">
        <f aca="false">IF(OR(F61="",H61&lt;&gt;"Car or van"),"",SUMIFS($F$6:F61,$H$6:H61,"Car or van"))</f>
        <v/>
      </c>
      <c r="J61" s="24" t="str">
        <f aca="false">IF(F61="","",IF(H61="Car or van",IF(O61=0,TEXT(INDEX('Notes and sources'!$C$6:$D$6,1,'Start here'!$C$11)*100,"0")&amp;"p",IF(N61=0,TEXT(INDEX('Notes and sources'!$C$7:$D$7,1,'Start here'!$C$11)*100,"0")&amp;"p",TEXT(INDEX('Notes and sources'!$C$6:$D$6,1,'Start here'!$C$11)*100,"0")&amp;"p/"&amp;TEXT(INDEX('Notes and sources'!$C$7:$D$7,1,'Start here'!$C$11)*100,"0")&amp;"p")),IF(H61="Motorcycle",TEXT(INDEX('Notes and sources'!$C$8:$D$8,1,'Start here'!$C$11)*100,"0")&amp;"p",IF(H61="Bicycle",TEXT(INDEX('Notes and sources'!$C$9:$D$9,1,'Start here'!$C$11)*100,"0")&amp;"p",""))))</f>
        <v/>
      </c>
      <c r="K61" s="26" t="str">
        <f aca="false">IF(F61="","",ROUND(IF(H61="Car or van",N61*INDEX('Notes and sources'!$C$6:$D$6,1,'Start here'!$C$11)+O61*INDEX('Notes and sources'!$C$7:$D$7,1,'Start here'!$C$11)+N(G61)*N(F61)*INDEX('Notes and sources'!$C$10:$D$10,1,'Start here'!$C$11),IF(H61="Motorcycle",N(F61)*INDEX('Notes and sources'!$C$8:$D$8,1,'Start here'!$C$11),IF(H61="Bicycle",N(F61)*INDEX('Notes and sources'!$C$9:$D$9,1,'Start here'!$C$11),0))),2))</f>
        <v/>
      </c>
      <c r="L61" s="27"/>
      <c r="N61" s="2" t="n">
        <f aca="false">IF(I61="",0,MAX(0,MIN(N(F61),INDEX('Notes and sources'!$C$12:$D$12,1,'Start here'!$C$11)-(I61-N(F61)))))</f>
        <v>0</v>
      </c>
      <c r="O61" s="2" t="n">
        <f aca="false">IF(I61="",0,N(F61)-N61)</f>
        <v>0</v>
      </c>
      <c r="P61" s="2" t="str">
        <f aca="false">IF(A61="","",IF(AND(MONTH(A61)=4,DAY(A61)&lt;6),13,MOD(MONTH(A61)-4,12)+1))</f>
        <v/>
      </c>
    </row>
    <row r="62" customFormat="false" ht="15" hidden="false" customHeight="false" outlineLevel="0" collapsed="false">
      <c r="A62" s="21"/>
      <c r="B62" s="6"/>
      <c r="C62" s="6"/>
      <c r="D62" s="6"/>
      <c r="E62" s="6"/>
      <c r="F62" s="22"/>
      <c r="G62" s="23"/>
      <c r="H62" s="24" t="str">
        <f aca="false">IF(B62="","",IFERROR(INDEX('Start here'!$C$16:$C$20,MATCH(B62,'Start here'!$B$16:$B$20,0)),"Check vehicle"))</f>
        <v/>
      </c>
      <c r="I62" s="25" t="str">
        <f aca="false">IF(OR(F62="",H62&lt;&gt;"Car or van"),"",SUMIFS($F$6:F62,$H$6:H62,"Car or van"))</f>
        <v/>
      </c>
      <c r="J62" s="24" t="str">
        <f aca="false">IF(F62="","",IF(H62="Car or van",IF(O62=0,TEXT(INDEX('Notes and sources'!$C$6:$D$6,1,'Start here'!$C$11)*100,"0")&amp;"p",IF(N62=0,TEXT(INDEX('Notes and sources'!$C$7:$D$7,1,'Start here'!$C$11)*100,"0")&amp;"p",TEXT(INDEX('Notes and sources'!$C$6:$D$6,1,'Start here'!$C$11)*100,"0")&amp;"p/"&amp;TEXT(INDEX('Notes and sources'!$C$7:$D$7,1,'Start here'!$C$11)*100,"0")&amp;"p")),IF(H62="Motorcycle",TEXT(INDEX('Notes and sources'!$C$8:$D$8,1,'Start here'!$C$11)*100,"0")&amp;"p",IF(H62="Bicycle",TEXT(INDEX('Notes and sources'!$C$9:$D$9,1,'Start here'!$C$11)*100,"0")&amp;"p",""))))</f>
        <v/>
      </c>
      <c r="K62" s="26" t="str">
        <f aca="false">IF(F62="","",ROUND(IF(H62="Car or van",N62*INDEX('Notes and sources'!$C$6:$D$6,1,'Start here'!$C$11)+O62*INDEX('Notes and sources'!$C$7:$D$7,1,'Start here'!$C$11)+N(G62)*N(F62)*INDEX('Notes and sources'!$C$10:$D$10,1,'Start here'!$C$11),IF(H62="Motorcycle",N(F62)*INDEX('Notes and sources'!$C$8:$D$8,1,'Start here'!$C$11),IF(H62="Bicycle",N(F62)*INDEX('Notes and sources'!$C$9:$D$9,1,'Start here'!$C$11),0))),2))</f>
        <v/>
      </c>
      <c r="L62" s="27"/>
      <c r="N62" s="2" t="n">
        <f aca="false">IF(I62="",0,MAX(0,MIN(N(F62),INDEX('Notes and sources'!$C$12:$D$12,1,'Start here'!$C$11)-(I62-N(F62)))))</f>
        <v>0</v>
      </c>
      <c r="O62" s="2" t="n">
        <f aca="false">IF(I62="",0,N(F62)-N62)</f>
        <v>0</v>
      </c>
      <c r="P62" s="2" t="str">
        <f aca="false">IF(A62="","",IF(AND(MONTH(A62)=4,DAY(A62)&lt;6),13,MOD(MONTH(A62)-4,12)+1))</f>
        <v/>
      </c>
    </row>
    <row r="63" customFormat="false" ht="15" hidden="false" customHeight="false" outlineLevel="0" collapsed="false">
      <c r="A63" s="21"/>
      <c r="B63" s="6"/>
      <c r="C63" s="6"/>
      <c r="D63" s="6"/>
      <c r="E63" s="6"/>
      <c r="F63" s="22"/>
      <c r="G63" s="23"/>
      <c r="H63" s="24" t="str">
        <f aca="false">IF(B63="","",IFERROR(INDEX('Start here'!$C$16:$C$20,MATCH(B63,'Start here'!$B$16:$B$20,0)),"Check vehicle"))</f>
        <v/>
      </c>
      <c r="I63" s="25" t="str">
        <f aca="false">IF(OR(F63="",H63&lt;&gt;"Car or van"),"",SUMIFS($F$6:F63,$H$6:H63,"Car or van"))</f>
        <v/>
      </c>
      <c r="J63" s="24" t="str">
        <f aca="false">IF(F63="","",IF(H63="Car or van",IF(O63=0,TEXT(INDEX('Notes and sources'!$C$6:$D$6,1,'Start here'!$C$11)*100,"0")&amp;"p",IF(N63=0,TEXT(INDEX('Notes and sources'!$C$7:$D$7,1,'Start here'!$C$11)*100,"0")&amp;"p",TEXT(INDEX('Notes and sources'!$C$6:$D$6,1,'Start here'!$C$11)*100,"0")&amp;"p/"&amp;TEXT(INDEX('Notes and sources'!$C$7:$D$7,1,'Start here'!$C$11)*100,"0")&amp;"p")),IF(H63="Motorcycle",TEXT(INDEX('Notes and sources'!$C$8:$D$8,1,'Start here'!$C$11)*100,"0")&amp;"p",IF(H63="Bicycle",TEXT(INDEX('Notes and sources'!$C$9:$D$9,1,'Start here'!$C$11)*100,"0")&amp;"p",""))))</f>
        <v/>
      </c>
      <c r="K63" s="26" t="str">
        <f aca="false">IF(F63="","",ROUND(IF(H63="Car or van",N63*INDEX('Notes and sources'!$C$6:$D$6,1,'Start here'!$C$11)+O63*INDEX('Notes and sources'!$C$7:$D$7,1,'Start here'!$C$11)+N(G63)*N(F63)*INDEX('Notes and sources'!$C$10:$D$10,1,'Start here'!$C$11),IF(H63="Motorcycle",N(F63)*INDEX('Notes and sources'!$C$8:$D$8,1,'Start here'!$C$11),IF(H63="Bicycle",N(F63)*INDEX('Notes and sources'!$C$9:$D$9,1,'Start here'!$C$11),0))),2))</f>
        <v/>
      </c>
      <c r="L63" s="27"/>
      <c r="N63" s="2" t="n">
        <f aca="false">IF(I63="",0,MAX(0,MIN(N(F63),INDEX('Notes and sources'!$C$12:$D$12,1,'Start here'!$C$11)-(I63-N(F63)))))</f>
        <v>0</v>
      </c>
      <c r="O63" s="2" t="n">
        <f aca="false">IF(I63="",0,N(F63)-N63)</f>
        <v>0</v>
      </c>
      <c r="P63" s="2" t="str">
        <f aca="false">IF(A63="","",IF(AND(MONTH(A63)=4,DAY(A63)&lt;6),13,MOD(MONTH(A63)-4,12)+1))</f>
        <v/>
      </c>
    </row>
    <row r="64" customFormat="false" ht="15" hidden="false" customHeight="false" outlineLevel="0" collapsed="false">
      <c r="A64" s="21"/>
      <c r="B64" s="6"/>
      <c r="C64" s="6"/>
      <c r="D64" s="6"/>
      <c r="E64" s="6"/>
      <c r="F64" s="22"/>
      <c r="G64" s="23"/>
      <c r="H64" s="24" t="str">
        <f aca="false">IF(B64="","",IFERROR(INDEX('Start here'!$C$16:$C$20,MATCH(B64,'Start here'!$B$16:$B$20,0)),"Check vehicle"))</f>
        <v/>
      </c>
      <c r="I64" s="25" t="str">
        <f aca="false">IF(OR(F64="",H64&lt;&gt;"Car or van"),"",SUMIFS($F$6:F64,$H$6:H64,"Car or van"))</f>
        <v/>
      </c>
      <c r="J64" s="24" t="str">
        <f aca="false">IF(F64="","",IF(H64="Car or van",IF(O64=0,TEXT(INDEX('Notes and sources'!$C$6:$D$6,1,'Start here'!$C$11)*100,"0")&amp;"p",IF(N64=0,TEXT(INDEX('Notes and sources'!$C$7:$D$7,1,'Start here'!$C$11)*100,"0")&amp;"p",TEXT(INDEX('Notes and sources'!$C$6:$D$6,1,'Start here'!$C$11)*100,"0")&amp;"p/"&amp;TEXT(INDEX('Notes and sources'!$C$7:$D$7,1,'Start here'!$C$11)*100,"0")&amp;"p")),IF(H64="Motorcycle",TEXT(INDEX('Notes and sources'!$C$8:$D$8,1,'Start here'!$C$11)*100,"0")&amp;"p",IF(H64="Bicycle",TEXT(INDEX('Notes and sources'!$C$9:$D$9,1,'Start here'!$C$11)*100,"0")&amp;"p",""))))</f>
        <v/>
      </c>
      <c r="K64" s="26" t="str">
        <f aca="false">IF(F64="","",ROUND(IF(H64="Car or van",N64*INDEX('Notes and sources'!$C$6:$D$6,1,'Start here'!$C$11)+O64*INDEX('Notes and sources'!$C$7:$D$7,1,'Start here'!$C$11)+N(G64)*N(F64)*INDEX('Notes and sources'!$C$10:$D$10,1,'Start here'!$C$11),IF(H64="Motorcycle",N(F64)*INDEX('Notes and sources'!$C$8:$D$8,1,'Start here'!$C$11),IF(H64="Bicycle",N(F64)*INDEX('Notes and sources'!$C$9:$D$9,1,'Start here'!$C$11),0))),2))</f>
        <v/>
      </c>
      <c r="L64" s="27"/>
      <c r="N64" s="2" t="n">
        <f aca="false">IF(I64="",0,MAX(0,MIN(N(F64),INDEX('Notes and sources'!$C$12:$D$12,1,'Start here'!$C$11)-(I64-N(F64)))))</f>
        <v>0</v>
      </c>
      <c r="O64" s="2" t="n">
        <f aca="false">IF(I64="",0,N(F64)-N64)</f>
        <v>0</v>
      </c>
      <c r="P64" s="2" t="str">
        <f aca="false">IF(A64="","",IF(AND(MONTH(A64)=4,DAY(A64)&lt;6),13,MOD(MONTH(A64)-4,12)+1))</f>
        <v/>
      </c>
    </row>
    <row r="65" customFormat="false" ht="15" hidden="false" customHeight="false" outlineLevel="0" collapsed="false">
      <c r="A65" s="21"/>
      <c r="B65" s="6"/>
      <c r="C65" s="6"/>
      <c r="D65" s="6"/>
      <c r="E65" s="6"/>
      <c r="F65" s="22"/>
      <c r="G65" s="23"/>
      <c r="H65" s="24" t="str">
        <f aca="false">IF(B65="","",IFERROR(INDEX('Start here'!$C$16:$C$20,MATCH(B65,'Start here'!$B$16:$B$20,0)),"Check vehicle"))</f>
        <v/>
      </c>
      <c r="I65" s="25" t="str">
        <f aca="false">IF(OR(F65="",H65&lt;&gt;"Car or van"),"",SUMIFS($F$6:F65,$H$6:H65,"Car or van"))</f>
        <v/>
      </c>
      <c r="J65" s="24" t="str">
        <f aca="false">IF(F65="","",IF(H65="Car or van",IF(O65=0,TEXT(INDEX('Notes and sources'!$C$6:$D$6,1,'Start here'!$C$11)*100,"0")&amp;"p",IF(N65=0,TEXT(INDEX('Notes and sources'!$C$7:$D$7,1,'Start here'!$C$11)*100,"0")&amp;"p",TEXT(INDEX('Notes and sources'!$C$6:$D$6,1,'Start here'!$C$11)*100,"0")&amp;"p/"&amp;TEXT(INDEX('Notes and sources'!$C$7:$D$7,1,'Start here'!$C$11)*100,"0")&amp;"p")),IF(H65="Motorcycle",TEXT(INDEX('Notes and sources'!$C$8:$D$8,1,'Start here'!$C$11)*100,"0")&amp;"p",IF(H65="Bicycle",TEXT(INDEX('Notes and sources'!$C$9:$D$9,1,'Start here'!$C$11)*100,"0")&amp;"p",""))))</f>
        <v/>
      </c>
      <c r="K65" s="26" t="str">
        <f aca="false">IF(F65="","",ROUND(IF(H65="Car or van",N65*INDEX('Notes and sources'!$C$6:$D$6,1,'Start here'!$C$11)+O65*INDEX('Notes and sources'!$C$7:$D$7,1,'Start here'!$C$11)+N(G65)*N(F65)*INDEX('Notes and sources'!$C$10:$D$10,1,'Start here'!$C$11),IF(H65="Motorcycle",N(F65)*INDEX('Notes and sources'!$C$8:$D$8,1,'Start here'!$C$11),IF(H65="Bicycle",N(F65)*INDEX('Notes and sources'!$C$9:$D$9,1,'Start here'!$C$11),0))),2))</f>
        <v/>
      </c>
      <c r="L65" s="27"/>
      <c r="N65" s="2" t="n">
        <f aca="false">IF(I65="",0,MAX(0,MIN(N(F65),INDEX('Notes and sources'!$C$12:$D$12,1,'Start here'!$C$11)-(I65-N(F65)))))</f>
        <v>0</v>
      </c>
      <c r="O65" s="2" t="n">
        <f aca="false">IF(I65="",0,N(F65)-N65)</f>
        <v>0</v>
      </c>
      <c r="P65" s="2" t="str">
        <f aca="false">IF(A65="","",IF(AND(MONTH(A65)=4,DAY(A65)&lt;6),13,MOD(MONTH(A65)-4,12)+1))</f>
        <v/>
      </c>
    </row>
    <row r="66" customFormat="false" ht="15" hidden="false" customHeight="false" outlineLevel="0" collapsed="false">
      <c r="A66" s="21"/>
      <c r="B66" s="6"/>
      <c r="C66" s="6"/>
      <c r="D66" s="6"/>
      <c r="E66" s="6"/>
      <c r="F66" s="22"/>
      <c r="G66" s="23"/>
      <c r="H66" s="24" t="str">
        <f aca="false">IF(B66="","",IFERROR(INDEX('Start here'!$C$16:$C$20,MATCH(B66,'Start here'!$B$16:$B$20,0)),"Check vehicle"))</f>
        <v/>
      </c>
      <c r="I66" s="25" t="str">
        <f aca="false">IF(OR(F66="",H66&lt;&gt;"Car or van"),"",SUMIFS($F$6:F66,$H$6:H66,"Car or van"))</f>
        <v/>
      </c>
      <c r="J66" s="24" t="str">
        <f aca="false">IF(F66="","",IF(H66="Car or van",IF(O66=0,TEXT(INDEX('Notes and sources'!$C$6:$D$6,1,'Start here'!$C$11)*100,"0")&amp;"p",IF(N66=0,TEXT(INDEX('Notes and sources'!$C$7:$D$7,1,'Start here'!$C$11)*100,"0")&amp;"p",TEXT(INDEX('Notes and sources'!$C$6:$D$6,1,'Start here'!$C$11)*100,"0")&amp;"p/"&amp;TEXT(INDEX('Notes and sources'!$C$7:$D$7,1,'Start here'!$C$11)*100,"0")&amp;"p")),IF(H66="Motorcycle",TEXT(INDEX('Notes and sources'!$C$8:$D$8,1,'Start here'!$C$11)*100,"0")&amp;"p",IF(H66="Bicycle",TEXT(INDEX('Notes and sources'!$C$9:$D$9,1,'Start here'!$C$11)*100,"0")&amp;"p",""))))</f>
        <v/>
      </c>
      <c r="K66" s="26" t="str">
        <f aca="false">IF(F66="","",ROUND(IF(H66="Car or van",N66*INDEX('Notes and sources'!$C$6:$D$6,1,'Start here'!$C$11)+O66*INDEX('Notes and sources'!$C$7:$D$7,1,'Start here'!$C$11)+N(G66)*N(F66)*INDEX('Notes and sources'!$C$10:$D$10,1,'Start here'!$C$11),IF(H66="Motorcycle",N(F66)*INDEX('Notes and sources'!$C$8:$D$8,1,'Start here'!$C$11),IF(H66="Bicycle",N(F66)*INDEX('Notes and sources'!$C$9:$D$9,1,'Start here'!$C$11),0))),2))</f>
        <v/>
      </c>
      <c r="L66" s="27"/>
      <c r="N66" s="2" t="n">
        <f aca="false">IF(I66="",0,MAX(0,MIN(N(F66),INDEX('Notes and sources'!$C$12:$D$12,1,'Start here'!$C$11)-(I66-N(F66)))))</f>
        <v>0</v>
      </c>
      <c r="O66" s="2" t="n">
        <f aca="false">IF(I66="",0,N(F66)-N66)</f>
        <v>0</v>
      </c>
      <c r="P66" s="2" t="str">
        <f aca="false">IF(A66="","",IF(AND(MONTH(A66)=4,DAY(A66)&lt;6),13,MOD(MONTH(A66)-4,12)+1))</f>
        <v/>
      </c>
    </row>
    <row r="67" customFormat="false" ht="15" hidden="false" customHeight="false" outlineLevel="0" collapsed="false">
      <c r="A67" s="21"/>
      <c r="B67" s="6"/>
      <c r="C67" s="6"/>
      <c r="D67" s="6"/>
      <c r="E67" s="6"/>
      <c r="F67" s="22"/>
      <c r="G67" s="23"/>
      <c r="H67" s="24" t="str">
        <f aca="false">IF(B67="","",IFERROR(INDEX('Start here'!$C$16:$C$20,MATCH(B67,'Start here'!$B$16:$B$20,0)),"Check vehicle"))</f>
        <v/>
      </c>
      <c r="I67" s="25" t="str">
        <f aca="false">IF(OR(F67="",H67&lt;&gt;"Car or van"),"",SUMIFS($F$6:F67,$H$6:H67,"Car or van"))</f>
        <v/>
      </c>
      <c r="J67" s="24" t="str">
        <f aca="false">IF(F67="","",IF(H67="Car or van",IF(O67=0,TEXT(INDEX('Notes and sources'!$C$6:$D$6,1,'Start here'!$C$11)*100,"0")&amp;"p",IF(N67=0,TEXT(INDEX('Notes and sources'!$C$7:$D$7,1,'Start here'!$C$11)*100,"0")&amp;"p",TEXT(INDEX('Notes and sources'!$C$6:$D$6,1,'Start here'!$C$11)*100,"0")&amp;"p/"&amp;TEXT(INDEX('Notes and sources'!$C$7:$D$7,1,'Start here'!$C$11)*100,"0")&amp;"p")),IF(H67="Motorcycle",TEXT(INDEX('Notes and sources'!$C$8:$D$8,1,'Start here'!$C$11)*100,"0")&amp;"p",IF(H67="Bicycle",TEXT(INDEX('Notes and sources'!$C$9:$D$9,1,'Start here'!$C$11)*100,"0")&amp;"p",""))))</f>
        <v/>
      </c>
      <c r="K67" s="26" t="str">
        <f aca="false">IF(F67="","",ROUND(IF(H67="Car or van",N67*INDEX('Notes and sources'!$C$6:$D$6,1,'Start here'!$C$11)+O67*INDEX('Notes and sources'!$C$7:$D$7,1,'Start here'!$C$11)+N(G67)*N(F67)*INDEX('Notes and sources'!$C$10:$D$10,1,'Start here'!$C$11),IF(H67="Motorcycle",N(F67)*INDEX('Notes and sources'!$C$8:$D$8,1,'Start here'!$C$11),IF(H67="Bicycle",N(F67)*INDEX('Notes and sources'!$C$9:$D$9,1,'Start here'!$C$11),0))),2))</f>
        <v/>
      </c>
      <c r="L67" s="27"/>
      <c r="N67" s="2" t="n">
        <f aca="false">IF(I67="",0,MAX(0,MIN(N(F67),INDEX('Notes and sources'!$C$12:$D$12,1,'Start here'!$C$11)-(I67-N(F67)))))</f>
        <v>0</v>
      </c>
      <c r="O67" s="2" t="n">
        <f aca="false">IF(I67="",0,N(F67)-N67)</f>
        <v>0</v>
      </c>
      <c r="P67" s="2" t="str">
        <f aca="false">IF(A67="","",IF(AND(MONTH(A67)=4,DAY(A67)&lt;6),13,MOD(MONTH(A67)-4,12)+1))</f>
        <v/>
      </c>
    </row>
    <row r="68" customFormat="false" ht="15" hidden="false" customHeight="false" outlineLevel="0" collapsed="false">
      <c r="A68" s="21"/>
      <c r="B68" s="6"/>
      <c r="C68" s="6"/>
      <c r="D68" s="6"/>
      <c r="E68" s="6"/>
      <c r="F68" s="22"/>
      <c r="G68" s="23"/>
      <c r="H68" s="24" t="str">
        <f aca="false">IF(B68="","",IFERROR(INDEX('Start here'!$C$16:$C$20,MATCH(B68,'Start here'!$B$16:$B$20,0)),"Check vehicle"))</f>
        <v/>
      </c>
      <c r="I68" s="25" t="str">
        <f aca="false">IF(OR(F68="",H68&lt;&gt;"Car or van"),"",SUMIFS($F$6:F68,$H$6:H68,"Car or van"))</f>
        <v/>
      </c>
      <c r="J68" s="24" t="str">
        <f aca="false">IF(F68="","",IF(H68="Car or van",IF(O68=0,TEXT(INDEX('Notes and sources'!$C$6:$D$6,1,'Start here'!$C$11)*100,"0")&amp;"p",IF(N68=0,TEXT(INDEX('Notes and sources'!$C$7:$D$7,1,'Start here'!$C$11)*100,"0")&amp;"p",TEXT(INDEX('Notes and sources'!$C$6:$D$6,1,'Start here'!$C$11)*100,"0")&amp;"p/"&amp;TEXT(INDEX('Notes and sources'!$C$7:$D$7,1,'Start here'!$C$11)*100,"0")&amp;"p")),IF(H68="Motorcycle",TEXT(INDEX('Notes and sources'!$C$8:$D$8,1,'Start here'!$C$11)*100,"0")&amp;"p",IF(H68="Bicycle",TEXT(INDEX('Notes and sources'!$C$9:$D$9,1,'Start here'!$C$11)*100,"0")&amp;"p",""))))</f>
        <v/>
      </c>
      <c r="K68" s="26" t="str">
        <f aca="false">IF(F68="","",ROUND(IF(H68="Car or van",N68*INDEX('Notes and sources'!$C$6:$D$6,1,'Start here'!$C$11)+O68*INDEX('Notes and sources'!$C$7:$D$7,1,'Start here'!$C$11)+N(G68)*N(F68)*INDEX('Notes and sources'!$C$10:$D$10,1,'Start here'!$C$11),IF(H68="Motorcycle",N(F68)*INDEX('Notes and sources'!$C$8:$D$8,1,'Start here'!$C$11),IF(H68="Bicycle",N(F68)*INDEX('Notes and sources'!$C$9:$D$9,1,'Start here'!$C$11),0))),2))</f>
        <v/>
      </c>
      <c r="L68" s="27"/>
      <c r="N68" s="2" t="n">
        <f aca="false">IF(I68="",0,MAX(0,MIN(N(F68),INDEX('Notes and sources'!$C$12:$D$12,1,'Start here'!$C$11)-(I68-N(F68)))))</f>
        <v>0</v>
      </c>
      <c r="O68" s="2" t="n">
        <f aca="false">IF(I68="",0,N(F68)-N68)</f>
        <v>0</v>
      </c>
      <c r="P68" s="2" t="str">
        <f aca="false">IF(A68="","",IF(AND(MONTH(A68)=4,DAY(A68)&lt;6),13,MOD(MONTH(A68)-4,12)+1))</f>
        <v/>
      </c>
    </row>
    <row r="69" customFormat="false" ht="15" hidden="false" customHeight="false" outlineLevel="0" collapsed="false">
      <c r="A69" s="21"/>
      <c r="B69" s="6"/>
      <c r="C69" s="6"/>
      <c r="D69" s="6"/>
      <c r="E69" s="6"/>
      <c r="F69" s="22"/>
      <c r="G69" s="23"/>
      <c r="H69" s="24" t="str">
        <f aca="false">IF(B69="","",IFERROR(INDEX('Start here'!$C$16:$C$20,MATCH(B69,'Start here'!$B$16:$B$20,0)),"Check vehicle"))</f>
        <v/>
      </c>
      <c r="I69" s="25" t="str">
        <f aca="false">IF(OR(F69="",H69&lt;&gt;"Car or van"),"",SUMIFS($F$6:F69,$H$6:H69,"Car or van"))</f>
        <v/>
      </c>
      <c r="J69" s="24" t="str">
        <f aca="false">IF(F69="","",IF(H69="Car or van",IF(O69=0,TEXT(INDEX('Notes and sources'!$C$6:$D$6,1,'Start here'!$C$11)*100,"0")&amp;"p",IF(N69=0,TEXT(INDEX('Notes and sources'!$C$7:$D$7,1,'Start here'!$C$11)*100,"0")&amp;"p",TEXT(INDEX('Notes and sources'!$C$6:$D$6,1,'Start here'!$C$11)*100,"0")&amp;"p/"&amp;TEXT(INDEX('Notes and sources'!$C$7:$D$7,1,'Start here'!$C$11)*100,"0")&amp;"p")),IF(H69="Motorcycle",TEXT(INDEX('Notes and sources'!$C$8:$D$8,1,'Start here'!$C$11)*100,"0")&amp;"p",IF(H69="Bicycle",TEXT(INDEX('Notes and sources'!$C$9:$D$9,1,'Start here'!$C$11)*100,"0")&amp;"p",""))))</f>
        <v/>
      </c>
      <c r="K69" s="26" t="str">
        <f aca="false">IF(F69="","",ROUND(IF(H69="Car or van",N69*INDEX('Notes and sources'!$C$6:$D$6,1,'Start here'!$C$11)+O69*INDEX('Notes and sources'!$C$7:$D$7,1,'Start here'!$C$11)+N(G69)*N(F69)*INDEX('Notes and sources'!$C$10:$D$10,1,'Start here'!$C$11),IF(H69="Motorcycle",N(F69)*INDEX('Notes and sources'!$C$8:$D$8,1,'Start here'!$C$11),IF(H69="Bicycle",N(F69)*INDEX('Notes and sources'!$C$9:$D$9,1,'Start here'!$C$11),0))),2))</f>
        <v/>
      </c>
      <c r="L69" s="27"/>
      <c r="N69" s="2" t="n">
        <f aca="false">IF(I69="",0,MAX(0,MIN(N(F69),INDEX('Notes and sources'!$C$12:$D$12,1,'Start here'!$C$11)-(I69-N(F69)))))</f>
        <v>0</v>
      </c>
      <c r="O69" s="2" t="n">
        <f aca="false">IF(I69="",0,N(F69)-N69)</f>
        <v>0</v>
      </c>
      <c r="P69" s="2" t="str">
        <f aca="false">IF(A69="","",IF(AND(MONTH(A69)=4,DAY(A69)&lt;6),13,MOD(MONTH(A69)-4,12)+1))</f>
        <v/>
      </c>
    </row>
    <row r="70" customFormat="false" ht="15" hidden="false" customHeight="false" outlineLevel="0" collapsed="false">
      <c r="A70" s="21"/>
      <c r="B70" s="6"/>
      <c r="C70" s="6"/>
      <c r="D70" s="6"/>
      <c r="E70" s="6"/>
      <c r="F70" s="22"/>
      <c r="G70" s="23"/>
      <c r="H70" s="24" t="str">
        <f aca="false">IF(B70="","",IFERROR(INDEX('Start here'!$C$16:$C$20,MATCH(B70,'Start here'!$B$16:$B$20,0)),"Check vehicle"))</f>
        <v/>
      </c>
      <c r="I70" s="25" t="str">
        <f aca="false">IF(OR(F70="",H70&lt;&gt;"Car or van"),"",SUMIFS($F$6:F70,$H$6:H70,"Car or van"))</f>
        <v/>
      </c>
      <c r="J70" s="24" t="str">
        <f aca="false">IF(F70="","",IF(H70="Car or van",IF(O70=0,TEXT(INDEX('Notes and sources'!$C$6:$D$6,1,'Start here'!$C$11)*100,"0")&amp;"p",IF(N70=0,TEXT(INDEX('Notes and sources'!$C$7:$D$7,1,'Start here'!$C$11)*100,"0")&amp;"p",TEXT(INDEX('Notes and sources'!$C$6:$D$6,1,'Start here'!$C$11)*100,"0")&amp;"p/"&amp;TEXT(INDEX('Notes and sources'!$C$7:$D$7,1,'Start here'!$C$11)*100,"0")&amp;"p")),IF(H70="Motorcycle",TEXT(INDEX('Notes and sources'!$C$8:$D$8,1,'Start here'!$C$11)*100,"0")&amp;"p",IF(H70="Bicycle",TEXT(INDEX('Notes and sources'!$C$9:$D$9,1,'Start here'!$C$11)*100,"0")&amp;"p",""))))</f>
        <v/>
      </c>
      <c r="K70" s="26" t="str">
        <f aca="false">IF(F70="","",ROUND(IF(H70="Car or van",N70*INDEX('Notes and sources'!$C$6:$D$6,1,'Start here'!$C$11)+O70*INDEX('Notes and sources'!$C$7:$D$7,1,'Start here'!$C$11)+N(G70)*N(F70)*INDEX('Notes and sources'!$C$10:$D$10,1,'Start here'!$C$11),IF(H70="Motorcycle",N(F70)*INDEX('Notes and sources'!$C$8:$D$8,1,'Start here'!$C$11),IF(H70="Bicycle",N(F70)*INDEX('Notes and sources'!$C$9:$D$9,1,'Start here'!$C$11),0))),2))</f>
        <v/>
      </c>
      <c r="L70" s="27"/>
      <c r="N70" s="2" t="n">
        <f aca="false">IF(I70="",0,MAX(0,MIN(N(F70),INDEX('Notes and sources'!$C$12:$D$12,1,'Start here'!$C$11)-(I70-N(F70)))))</f>
        <v>0</v>
      </c>
      <c r="O70" s="2" t="n">
        <f aca="false">IF(I70="",0,N(F70)-N70)</f>
        <v>0</v>
      </c>
      <c r="P70" s="2" t="str">
        <f aca="false">IF(A70="","",IF(AND(MONTH(A70)=4,DAY(A70)&lt;6),13,MOD(MONTH(A70)-4,12)+1))</f>
        <v/>
      </c>
    </row>
    <row r="71" customFormat="false" ht="15" hidden="false" customHeight="false" outlineLevel="0" collapsed="false">
      <c r="A71" s="21"/>
      <c r="B71" s="6"/>
      <c r="C71" s="6"/>
      <c r="D71" s="6"/>
      <c r="E71" s="6"/>
      <c r="F71" s="22"/>
      <c r="G71" s="23"/>
      <c r="H71" s="24" t="str">
        <f aca="false">IF(B71="","",IFERROR(INDEX('Start here'!$C$16:$C$20,MATCH(B71,'Start here'!$B$16:$B$20,0)),"Check vehicle"))</f>
        <v/>
      </c>
      <c r="I71" s="25" t="str">
        <f aca="false">IF(OR(F71="",H71&lt;&gt;"Car or van"),"",SUMIFS($F$6:F71,$H$6:H71,"Car or van"))</f>
        <v/>
      </c>
      <c r="J71" s="24" t="str">
        <f aca="false">IF(F71="","",IF(H71="Car or van",IF(O71=0,TEXT(INDEX('Notes and sources'!$C$6:$D$6,1,'Start here'!$C$11)*100,"0")&amp;"p",IF(N71=0,TEXT(INDEX('Notes and sources'!$C$7:$D$7,1,'Start here'!$C$11)*100,"0")&amp;"p",TEXT(INDEX('Notes and sources'!$C$6:$D$6,1,'Start here'!$C$11)*100,"0")&amp;"p/"&amp;TEXT(INDEX('Notes and sources'!$C$7:$D$7,1,'Start here'!$C$11)*100,"0")&amp;"p")),IF(H71="Motorcycle",TEXT(INDEX('Notes and sources'!$C$8:$D$8,1,'Start here'!$C$11)*100,"0")&amp;"p",IF(H71="Bicycle",TEXT(INDEX('Notes and sources'!$C$9:$D$9,1,'Start here'!$C$11)*100,"0")&amp;"p",""))))</f>
        <v/>
      </c>
      <c r="K71" s="26" t="str">
        <f aca="false">IF(F71="","",ROUND(IF(H71="Car or van",N71*INDEX('Notes and sources'!$C$6:$D$6,1,'Start here'!$C$11)+O71*INDEX('Notes and sources'!$C$7:$D$7,1,'Start here'!$C$11)+N(G71)*N(F71)*INDEX('Notes and sources'!$C$10:$D$10,1,'Start here'!$C$11),IF(H71="Motorcycle",N(F71)*INDEX('Notes and sources'!$C$8:$D$8,1,'Start here'!$C$11),IF(H71="Bicycle",N(F71)*INDEX('Notes and sources'!$C$9:$D$9,1,'Start here'!$C$11),0))),2))</f>
        <v/>
      </c>
      <c r="L71" s="27"/>
      <c r="N71" s="2" t="n">
        <f aca="false">IF(I71="",0,MAX(0,MIN(N(F71),INDEX('Notes and sources'!$C$12:$D$12,1,'Start here'!$C$11)-(I71-N(F71)))))</f>
        <v>0</v>
      </c>
      <c r="O71" s="2" t="n">
        <f aca="false">IF(I71="",0,N(F71)-N71)</f>
        <v>0</v>
      </c>
      <c r="P71" s="2" t="str">
        <f aca="false">IF(A71="","",IF(AND(MONTH(A71)=4,DAY(A71)&lt;6),13,MOD(MONTH(A71)-4,12)+1))</f>
        <v/>
      </c>
    </row>
    <row r="72" customFormat="false" ht="15" hidden="false" customHeight="false" outlineLevel="0" collapsed="false">
      <c r="A72" s="21"/>
      <c r="B72" s="6"/>
      <c r="C72" s="6"/>
      <c r="D72" s="6"/>
      <c r="E72" s="6"/>
      <c r="F72" s="22"/>
      <c r="G72" s="23"/>
      <c r="H72" s="24" t="str">
        <f aca="false">IF(B72="","",IFERROR(INDEX('Start here'!$C$16:$C$20,MATCH(B72,'Start here'!$B$16:$B$20,0)),"Check vehicle"))</f>
        <v/>
      </c>
      <c r="I72" s="25" t="str">
        <f aca="false">IF(OR(F72="",H72&lt;&gt;"Car or van"),"",SUMIFS($F$6:F72,$H$6:H72,"Car or van"))</f>
        <v/>
      </c>
      <c r="J72" s="24" t="str">
        <f aca="false">IF(F72="","",IF(H72="Car or van",IF(O72=0,TEXT(INDEX('Notes and sources'!$C$6:$D$6,1,'Start here'!$C$11)*100,"0")&amp;"p",IF(N72=0,TEXT(INDEX('Notes and sources'!$C$7:$D$7,1,'Start here'!$C$11)*100,"0")&amp;"p",TEXT(INDEX('Notes and sources'!$C$6:$D$6,1,'Start here'!$C$11)*100,"0")&amp;"p/"&amp;TEXT(INDEX('Notes and sources'!$C$7:$D$7,1,'Start here'!$C$11)*100,"0")&amp;"p")),IF(H72="Motorcycle",TEXT(INDEX('Notes and sources'!$C$8:$D$8,1,'Start here'!$C$11)*100,"0")&amp;"p",IF(H72="Bicycle",TEXT(INDEX('Notes and sources'!$C$9:$D$9,1,'Start here'!$C$11)*100,"0")&amp;"p",""))))</f>
        <v/>
      </c>
      <c r="K72" s="26" t="str">
        <f aca="false">IF(F72="","",ROUND(IF(H72="Car or van",N72*INDEX('Notes and sources'!$C$6:$D$6,1,'Start here'!$C$11)+O72*INDEX('Notes and sources'!$C$7:$D$7,1,'Start here'!$C$11)+N(G72)*N(F72)*INDEX('Notes and sources'!$C$10:$D$10,1,'Start here'!$C$11),IF(H72="Motorcycle",N(F72)*INDEX('Notes and sources'!$C$8:$D$8,1,'Start here'!$C$11),IF(H72="Bicycle",N(F72)*INDEX('Notes and sources'!$C$9:$D$9,1,'Start here'!$C$11),0))),2))</f>
        <v/>
      </c>
      <c r="L72" s="27"/>
      <c r="N72" s="2" t="n">
        <f aca="false">IF(I72="",0,MAX(0,MIN(N(F72),INDEX('Notes and sources'!$C$12:$D$12,1,'Start here'!$C$11)-(I72-N(F72)))))</f>
        <v>0</v>
      </c>
      <c r="O72" s="2" t="n">
        <f aca="false">IF(I72="",0,N(F72)-N72)</f>
        <v>0</v>
      </c>
      <c r="P72" s="2" t="str">
        <f aca="false">IF(A72="","",IF(AND(MONTH(A72)=4,DAY(A72)&lt;6),13,MOD(MONTH(A72)-4,12)+1))</f>
        <v/>
      </c>
    </row>
    <row r="73" customFormat="false" ht="15" hidden="false" customHeight="false" outlineLevel="0" collapsed="false">
      <c r="A73" s="21"/>
      <c r="B73" s="6"/>
      <c r="C73" s="6"/>
      <c r="D73" s="6"/>
      <c r="E73" s="6"/>
      <c r="F73" s="22"/>
      <c r="G73" s="23"/>
      <c r="H73" s="24" t="str">
        <f aca="false">IF(B73="","",IFERROR(INDEX('Start here'!$C$16:$C$20,MATCH(B73,'Start here'!$B$16:$B$20,0)),"Check vehicle"))</f>
        <v/>
      </c>
      <c r="I73" s="25" t="str">
        <f aca="false">IF(OR(F73="",H73&lt;&gt;"Car or van"),"",SUMIFS($F$6:F73,$H$6:H73,"Car or van"))</f>
        <v/>
      </c>
      <c r="J73" s="24" t="str">
        <f aca="false">IF(F73="","",IF(H73="Car or van",IF(O73=0,TEXT(INDEX('Notes and sources'!$C$6:$D$6,1,'Start here'!$C$11)*100,"0")&amp;"p",IF(N73=0,TEXT(INDEX('Notes and sources'!$C$7:$D$7,1,'Start here'!$C$11)*100,"0")&amp;"p",TEXT(INDEX('Notes and sources'!$C$6:$D$6,1,'Start here'!$C$11)*100,"0")&amp;"p/"&amp;TEXT(INDEX('Notes and sources'!$C$7:$D$7,1,'Start here'!$C$11)*100,"0")&amp;"p")),IF(H73="Motorcycle",TEXT(INDEX('Notes and sources'!$C$8:$D$8,1,'Start here'!$C$11)*100,"0")&amp;"p",IF(H73="Bicycle",TEXT(INDEX('Notes and sources'!$C$9:$D$9,1,'Start here'!$C$11)*100,"0")&amp;"p",""))))</f>
        <v/>
      </c>
      <c r="K73" s="26" t="str">
        <f aca="false">IF(F73="","",ROUND(IF(H73="Car or van",N73*INDEX('Notes and sources'!$C$6:$D$6,1,'Start here'!$C$11)+O73*INDEX('Notes and sources'!$C$7:$D$7,1,'Start here'!$C$11)+N(G73)*N(F73)*INDEX('Notes and sources'!$C$10:$D$10,1,'Start here'!$C$11),IF(H73="Motorcycle",N(F73)*INDEX('Notes and sources'!$C$8:$D$8,1,'Start here'!$C$11),IF(H73="Bicycle",N(F73)*INDEX('Notes and sources'!$C$9:$D$9,1,'Start here'!$C$11),0))),2))</f>
        <v/>
      </c>
      <c r="L73" s="27"/>
      <c r="N73" s="2" t="n">
        <f aca="false">IF(I73="",0,MAX(0,MIN(N(F73),INDEX('Notes and sources'!$C$12:$D$12,1,'Start here'!$C$11)-(I73-N(F73)))))</f>
        <v>0</v>
      </c>
      <c r="O73" s="2" t="n">
        <f aca="false">IF(I73="",0,N(F73)-N73)</f>
        <v>0</v>
      </c>
      <c r="P73" s="2" t="str">
        <f aca="false">IF(A73="","",IF(AND(MONTH(A73)=4,DAY(A73)&lt;6),13,MOD(MONTH(A73)-4,12)+1))</f>
        <v/>
      </c>
    </row>
    <row r="74" customFormat="false" ht="15" hidden="false" customHeight="false" outlineLevel="0" collapsed="false">
      <c r="A74" s="21"/>
      <c r="B74" s="6"/>
      <c r="C74" s="6"/>
      <c r="D74" s="6"/>
      <c r="E74" s="6"/>
      <c r="F74" s="22"/>
      <c r="G74" s="23"/>
      <c r="H74" s="24" t="str">
        <f aca="false">IF(B74="","",IFERROR(INDEX('Start here'!$C$16:$C$20,MATCH(B74,'Start here'!$B$16:$B$20,0)),"Check vehicle"))</f>
        <v/>
      </c>
      <c r="I74" s="25" t="str">
        <f aca="false">IF(OR(F74="",H74&lt;&gt;"Car or van"),"",SUMIFS($F$6:F74,$H$6:H74,"Car or van"))</f>
        <v/>
      </c>
      <c r="J74" s="24" t="str">
        <f aca="false">IF(F74="","",IF(H74="Car or van",IF(O74=0,TEXT(INDEX('Notes and sources'!$C$6:$D$6,1,'Start here'!$C$11)*100,"0")&amp;"p",IF(N74=0,TEXT(INDEX('Notes and sources'!$C$7:$D$7,1,'Start here'!$C$11)*100,"0")&amp;"p",TEXT(INDEX('Notes and sources'!$C$6:$D$6,1,'Start here'!$C$11)*100,"0")&amp;"p/"&amp;TEXT(INDEX('Notes and sources'!$C$7:$D$7,1,'Start here'!$C$11)*100,"0")&amp;"p")),IF(H74="Motorcycle",TEXT(INDEX('Notes and sources'!$C$8:$D$8,1,'Start here'!$C$11)*100,"0")&amp;"p",IF(H74="Bicycle",TEXT(INDEX('Notes and sources'!$C$9:$D$9,1,'Start here'!$C$11)*100,"0")&amp;"p",""))))</f>
        <v/>
      </c>
      <c r="K74" s="26" t="str">
        <f aca="false">IF(F74="","",ROUND(IF(H74="Car or van",N74*INDEX('Notes and sources'!$C$6:$D$6,1,'Start here'!$C$11)+O74*INDEX('Notes and sources'!$C$7:$D$7,1,'Start here'!$C$11)+N(G74)*N(F74)*INDEX('Notes and sources'!$C$10:$D$10,1,'Start here'!$C$11),IF(H74="Motorcycle",N(F74)*INDEX('Notes and sources'!$C$8:$D$8,1,'Start here'!$C$11),IF(H74="Bicycle",N(F74)*INDEX('Notes and sources'!$C$9:$D$9,1,'Start here'!$C$11),0))),2))</f>
        <v/>
      </c>
      <c r="L74" s="27"/>
      <c r="N74" s="2" t="n">
        <f aca="false">IF(I74="",0,MAX(0,MIN(N(F74),INDEX('Notes and sources'!$C$12:$D$12,1,'Start here'!$C$11)-(I74-N(F74)))))</f>
        <v>0</v>
      </c>
      <c r="O74" s="2" t="n">
        <f aca="false">IF(I74="",0,N(F74)-N74)</f>
        <v>0</v>
      </c>
      <c r="P74" s="2" t="str">
        <f aca="false">IF(A74="","",IF(AND(MONTH(A74)=4,DAY(A74)&lt;6),13,MOD(MONTH(A74)-4,12)+1))</f>
        <v/>
      </c>
    </row>
    <row r="75" customFormat="false" ht="15" hidden="false" customHeight="false" outlineLevel="0" collapsed="false">
      <c r="A75" s="21"/>
      <c r="B75" s="6"/>
      <c r="C75" s="6"/>
      <c r="D75" s="6"/>
      <c r="E75" s="6"/>
      <c r="F75" s="22"/>
      <c r="G75" s="23"/>
      <c r="H75" s="24" t="str">
        <f aca="false">IF(B75="","",IFERROR(INDEX('Start here'!$C$16:$C$20,MATCH(B75,'Start here'!$B$16:$B$20,0)),"Check vehicle"))</f>
        <v/>
      </c>
      <c r="I75" s="25" t="str">
        <f aca="false">IF(OR(F75="",H75&lt;&gt;"Car or van"),"",SUMIFS($F$6:F75,$H$6:H75,"Car or van"))</f>
        <v/>
      </c>
      <c r="J75" s="24" t="str">
        <f aca="false">IF(F75="","",IF(H75="Car or van",IF(O75=0,TEXT(INDEX('Notes and sources'!$C$6:$D$6,1,'Start here'!$C$11)*100,"0")&amp;"p",IF(N75=0,TEXT(INDEX('Notes and sources'!$C$7:$D$7,1,'Start here'!$C$11)*100,"0")&amp;"p",TEXT(INDEX('Notes and sources'!$C$6:$D$6,1,'Start here'!$C$11)*100,"0")&amp;"p/"&amp;TEXT(INDEX('Notes and sources'!$C$7:$D$7,1,'Start here'!$C$11)*100,"0")&amp;"p")),IF(H75="Motorcycle",TEXT(INDEX('Notes and sources'!$C$8:$D$8,1,'Start here'!$C$11)*100,"0")&amp;"p",IF(H75="Bicycle",TEXT(INDEX('Notes and sources'!$C$9:$D$9,1,'Start here'!$C$11)*100,"0")&amp;"p",""))))</f>
        <v/>
      </c>
      <c r="K75" s="26" t="str">
        <f aca="false">IF(F75="","",ROUND(IF(H75="Car or van",N75*INDEX('Notes and sources'!$C$6:$D$6,1,'Start here'!$C$11)+O75*INDEX('Notes and sources'!$C$7:$D$7,1,'Start here'!$C$11)+N(G75)*N(F75)*INDEX('Notes and sources'!$C$10:$D$10,1,'Start here'!$C$11),IF(H75="Motorcycle",N(F75)*INDEX('Notes and sources'!$C$8:$D$8,1,'Start here'!$C$11),IF(H75="Bicycle",N(F75)*INDEX('Notes and sources'!$C$9:$D$9,1,'Start here'!$C$11),0))),2))</f>
        <v/>
      </c>
      <c r="L75" s="27"/>
      <c r="N75" s="2" t="n">
        <f aca="false">IF(I75="",0,MAX(0,MIN(N(F75),INDEX('Notes and sources'!$C$12:$D$12,1,'Start here'!$C$11)-(I75-N(F75)))))</f>
        <v>0</v>
      </c>
      <c r="O75" s="2" t="n">
        <f aca="false">IF(I75="",0,N(F75)-N75)</f>
        <v>0</v>
      </c>
      <c r="P75" s="2" t="str">
        <f aca="false">IF(A75="","",IF(AND(MONTH(A75)=4,DAY(A75)&lt;6),13,MOD(MONTH(A75)-4,12)+1))</f>
        <v/>
      </c>
    </row>
    <row r="76" customFormat="false" ht="15" hidden="false" customHeight="false" outlineLevel="0" collapsed="false">
      <c r="A76" s="21"/>
      <c r="B76" s="6"/>
      <c r="C76" s="6"/>
      <c r="D76" s="6"/>
      <c r="E76" s="6"/>
      <c r="F76" s="22"/>
      <c r="G76" s="23"/>
      <c r="H76" s="24" t="str">
        <f aca="false">IF(B76="","",IFERROR(INDEX('Start here'!$C$16:$C$20,MATCH(B76,'Start here'!$B$16:$B$20,0)),"Check vehicle"))</f>
        <v/>
      </c>
      <c r="I76" s="25" t="str">
        <f aca="false">IF(OR(F76="",H76&lt;&gt;"Car or van"),"",SUMIFS($F$6:F76,$H$6:H76,"Car or van"))</f>
        <v/>
      </c>
      <c r="J76" s="24" t="str">
        <f aca="false">IF(F76="","",IF(H76="Car or van",IF(O76=0,TEXT(INDEX('Notes and sources'!$C$6:$D$6,1,'Start here'!$C$11)*100,"0")&amp;"p",IF(N76=0,TEXT(INDEX('Notes and sources'!$C$7:$D$7,1,'Start here'!$C$11)*100,"0")&amp;"p",TEXT(INDEX('Notes and sources'!$C$6:$D$6,1,'Start here'!$C$11)*100,"0")&amp;"p/"&amp;TEXT(INDEX('Notes and sources'!$C$7:$D$7,1,'Start here'!$C$11)*100,"0")&amp;"p")),IF(H76="Motorcycle",TEXT(INDEX('Notes and sources'!$C$8:$D$8,1,'Start here'!$C$11)*100,"0")&amp;"p",IF(H76="Bicycle",TEXT(INDEX('Notes and sources'!$C$9:$D$9,1,'Start here'!$C$11)*100,"0")&amp;"p",""))))</f>
        <v/>
      </c>
      <c r="K76" s="26" t="str">
        <f aca="false">IF(F76="","",ROUND(IF(H76="Car or van",N76*INDEX('Notes and sources'!$C$6:$D$6,1,'Start here'!$C$11)+O76*INDEX('Notes and sources'!$C$7:$D$7,1,'Start here'!$C$11)+N(G76)*N(F76)*INDEX('Notes and sources'!$C$10:$D$10,1,'Start here'!$C$11),IF(H76="Motorcycle",N(F76)*INDEX('Notes and sources'!$C$8:$D$8,1,'Start here'!$C$11),IF(H76="Bicycle",N(F76)*INDEX('Notes and sources'!$C$9:$D$9,1,'Start here'!$C$11),0))),2))</f>
        <v/>
      </c>
      <c r="L76" s="27"/>
      <c r="N76" s="2" t="n">
        <f aca="false">IF(I76="",0,MAX(0,MIN(N(F76),INDEX('Notes and sources'!$C$12:$D$12,1,'Start here'!$C$11)-(I76-N(F76)))))</f>
        <v>0</v>
      </c>
      <c r="O76" s="2" t="n">
        <f aca="false">IF(I76="",0,N(F76)-N76)</f>
        <v>0</v>
      </c>
      <c r="P76" s="2" t="str">
        <f aca="false">IF(A76="","",IF(AND(MONTH(A76)=4,DAY(A76)&lt;6),13,MOD(MONTH(A76)-4,12)+1))</f>
        <v/>
      </c>
    </row>
    <row r="77" customFormat="false" ht="15" hidden="false" customHeight="false" outlineLevel="0" collapsed="false">
      <c r="A77" s="21"/>
      <c r="B77" s="6"/>
      <c r="C77" s="6"/>
      <c r="D77" s="6"/>
      <c r="E77" s="6"/>
      <c r="F77" s="22"/>
      <c r="G77" s="23"/>
      <c r="H77" s="24" t="str">
        <f aca="false">IF(B77="","",IFERROR(INDEX('Start here'!$C$16:$C$20,MATCH(B77,'Start here'!$B$16:$B$20,0)),"Check vehicle"))</f>
        <v/>
      </c>
      <c r="I77" s="25" t="str">
        <f aca="false">IF(OR(F77="",H77&lt;&gt;"Car or van"),"",SUMIFS($F$6:F77,$H$6:H77,"Car or van"))</f>
        <v/>
      </c>
      <c r="J77" s="24" t="str">
        <f aca="false">IF(F77="","",IF(H77="Car or van",IF(O77=0,TEXT(INDEX('Notes and sources'!$C$6:$D$6,1,'Start here'!$C$11)*100,"0")&amp;"p",IF(N77=0,TEXT(INDEX('Notes and sources'!$C$7:$D$7,1,'Start here'!$C$11)*100,"0")&amp;"p",TEXT(INDEX('Notes and sources'!$C$6:$D$6,1,'Start here'!$C$11)*100,"0")&amp;"p/"&amp;TEXT(INDEX('Notes and sources'!$C$7:$D$7,1,'Start here'!$C$11)*100,"0")&amp;"p")),IF(H77="Motorcycle",TEXT(INDEX('Notes and sources'!$C$8:$D$8,1,'Start here'!$C$11)*100,"0")&amp;"p",IF(H77="Bicycle",TEXT(INDEX('Notes and sources'!$C$9:$D$9,1,'Start here'!$C$11)*100,"0")&amp;"p",""))))</f>
        <v/>
      </c>
      <c r="K77" s="26" t="str">
        <f aca="false">IF(F77="","",ROUND(IF(H77="Car or van",N77*INDEX('Notes and sources'!$C$6:$D$6,1,'Start here'!$C$11)+O77*INDEX('Notes and sources'!$C$7:$D$7,1,'Start here'!$C$11)+N(G77)*N(F77)*INDEX('Notes and sources'!$C$10:$D$10,1,'Start here'!$C$11),IF(H77="Motorcycle",N(F77)*INDEX('Notes and sources'!$C$8:$D$8,1,'Start here'!$C$11),IF(H77="Bicycle",N(F77)*INDEX('Notes and sources'!$C$9:$D$9,1,'Start here'!$C$11),0))),2))</f>
        <v/>
      </c>
      <c r="L77" s="27"/>
      <c r="N77" s="2" t="n">
        <f aca="false">IF(I77="",0,MAX(0,MIN(N(F77),INDEX('Notes and sources'!$C$12:$D$12,1,'Start here'!$C$11)-(I77-N(F77)))))</f>
        <v>0</v>
      </c>
      <c r="O77" s="2" t="n">
        <f aca="false">IF(I77="",0,N(F77)-N77)</f>
        <v>0</v>
      </c>
      <c r="P77" s="2" t="str">
        <f aca="false">IF(A77="","",IF(AND(MONTH(A77)=4,DAY(A77)&lt;6),13,MOD(MONTH(A77)-4,12)+1))</f>
        <v/>
      </c>
    </row>
    <row r="78" customFormat="false" ht="15" hidden="false" customHeight="false" outlineLevel="0" collapsed="false">
      <c r="A78" s="21"/>
      <c r="B78" s="6"/>
      <c r="C78" s="6"/>
      <c r="D78" s="6"/>
      <c r="E78" s="6"/>
      <c r="F78" s="22"/>
      <c r="G78" s="23"/>
      <c r="H78" s="24" t="str">
        <f aca="false">IF(B78="","",IFERROR(INDEX('Start here'!$C$16:$C$20,MATCH(B78,'Start here'!$B$16:$B$20,0)),"Check vehicle"))</f>
        <v/>
      </c>
      <c r="I78" s="25" t="str">
        <f aca="false">IF(OR(F78="",H78&lt;&gt;"Car or van"),"",SUMIFS($F$6:F78,$H$6:H78,"Car or van"))</f>
        <v/>
      </c>
      <c r="J78" s="24" t="str">
        <f aca="false">IF(F78="","",IF(H78="Car or van",IF(O78=0,TEXT(INDEX('Notes and sources'!$C$6:$D$6,1,'Start here'!$C$11)*100,"0")&amp;"p",IF(N78=0,TEXT(INDEX('Notes and sources'!$C$7:$D$7,1,'Start here'!$C$11)*100,"0")&amp;"p",TEXT(INDEX('Notes and sources'!$C$6:$D$6,1,'Start here'!$C$11)*100,"0")&amp;"p/"&amp;TEXT(INDEX('Notes and sources'!$C$7:$D$7,1,'Start here'!$C$11)*100,"0")&amp;"p")),IF(H78="Motorcycle",TEXT(INDEX('Notes and sources'!$C$8:$D$8,1,'Start here'!$C$11)*100,"0")&amp;"p",IF(H78="Bicycle",TEXT(INDEX('Notes and sources'!$C$9:$D$9,1,'Start here'!$C$11)*100,"0")&amp;"p",""))))</f>
        <v/>
      </c>
      <c r="K78" s="26" t="str">
        <f aca="false">IF(F78="","",ROUND(IF(H78="Car or van",N78*INDEX('Notes and sources'!$C$6:$D$6,1,'Start here'!$C$11)+O78*INDEX('Notes and sources'!$C$7:$D$7,1,'Start here'!$C$11)+N(G78)*N(F78)*INDEX('Notes and sources'!$C$10:$D$10,1,'Start here'!$C$11),IF(H78="Motorcycle",N(F78)*INDEX('Notes and sources'!$C$8:$D$8,1,'Start here'!$C$11),IF(H78="Bicycle",N(F78)*INDEX('Notes and sources'!$C$9:$D$9,1,'Start here'!$C$11),0))),2))</f>
        <v/>
      </c>
      <c r="L78" s="27"/>
      <c r="N78" s="2" t="n">
        <f aca="false">IF(I78="",0,MAX(0,MIN(N(F78),INDEX('Notes and sources'!$C$12:$D$12,1,'Start here'!$C$11)-(I78-N(F78)))))</f>
        <v>0</v>
      </c>
      <c r="O78" s="2" t="n">
        <f aca="false">IF(I78="",0,N(F78)-N78)</f>
        <v>0</v>
      </c>
      <c r="P78" s="2" t="str">
        <f aca="false">IF(A78="","",IF(AND(MONTH(A78)=4,DAY(A78)&lt;6),13,MOD(MONTH(A78)-4,12)+1))</f>
        <v/>
      </c>
    </row>
    <row r="79" customFormat="false" ht="15" hidden="false" customHeight="false" outlineLevel="0" collapsed="false">
      <c r="A79" s="21"/>
      <c r="B79" s="6"/>
      <c r="C79" s="6"/>
      <c r="D79" s="6"/>
      <c r="E79" s="6"/>
      <c r="F79" s="22"/>
      <c r="G79" s="23"/>
      <c r="H79" s="24" t="str">
        <f aca="false">IF(B79="","",IFERROR(INDEX('Start here'!$C$16:$C$20,MATCH(B79,'Start here'!$B$16:$B$20,0)),"Check vehicle"))</f>
        <v/>
      </c>
      <c r="I79" s="25" t="str">
        <f aca="false">IF(OR(F79="",H79&lt;&gt;"Car or van"),"",SUMIFS($F$6:F79,$H$6:H79,"Car or van"))</f>
        <v/>
      </c>
      <c r="J79" s="24" t="str">
        <f aca="false">IF(F79="","",IF(H79="Car or van",IF(O79=0,TEXT(INDEX('Notes and sources'!$C$6:$D$6,1,'Start here'!$C$11)*100,"0")&amp;"p",IF(N79=0,TEXT(INDEX('Notes and sources'!$C$7:$D$7,1,'Start here'!$C$11)*100,"0")&amp;"p",TEXT(INDEX('Notes and sources'!$C$6:$D$6,1,'Start here'!$C$11)*100,"0")&amp;"p/"&amp;TEXT(INDEX('Notes and sources'!$C$7:$D$7,1,'Start here'!$C$11)*100,"0")&amp;"p")),IF(H79="Motorcycle",TEXT(INDEX('Notes and sources'!$C$8:$D$8,1,'Start here'!$C$11)*100,"0")&amp;"p",IF(H79="Bicycle",TEXT(INDEX('Notes and sources'!$C$9:$D$9,1,'Start here'!$C$11)*100,"0")&amp;"p",""))))</f>
        <v/>
      </c>
      <c r="K79" s="26" t="str">
        <f aca="false">IF(F79="","",ROUND(IF(H79="Car or van",N79*INDEX('Notes and sources'!$C$6:$D$6,1,'Start here'!$C$11)+O79*INDEX('Notes and sources'!$C$7:$D$7,1,'Start here'!$C$11)+N(G79)*N(F79)*INDEX('Notes and sources'!$C$10:$D$10,1,'Start here'!$C$11),IF(H79="Motorcycle",N(F79)*INDEX('Notes and sources'!$C$8:$D$8,1,'Start here'!$C$11),IF(H79="Bicycle",N(F79)*INDEX('Notes and sources'!$C$9:$D$9,1,'Start here'!$C$11),0))),2))</f>
        <v/>
      </c>
      <c r="L79" s="27"/>
      <c r="N79" s="2" t="n">
        <f aca="false">IF(I79="",0,MAX(0,MIN(N(F79),INDEX('Notes and sources'!$C$12:$D$12,1,'Start here'!$C$11)-(I79-N(F79)))))</f>
        <v>0</v>
      </c>
      <c r="O79" s="2" t="n">
        <f aca="false">IF(I79="",0,N(F79)-N79)</f>
        <v>0</v>
      </c>
      <c r="P79" s="2" t="str">
        <f aca="false">IF(A79="","",IF(AND(MONTH(A79)=4,DAY(A79)&lt;6),13,MOD(MONTH(A79)-4,12)+1))</f>
        <v/>
      </c>
    </row>
    <row r="80" customFormat="false" ht="15" hidden="false" customHeight="false" outlineLevel="0" collapsed="false">
      <c r="A80" s="21"/>
      <c r="B80" s="6"/>
      <c r="C80" s="6"/>
      <c r="D80" s="6"/>
      <c r="E80" s="6"/>
      <c r="F80" s="22"/>
      <c r="G80" s="23"/>
      <c r="H80" s="24" t="str">
        <f aca="false">IF(B80="","",IFERROR(INDEX('Start here'!$C$16:$C$20,MATCH(B80,'Start here'!$B$16:$B$20,0)),"Check vehicle"))</f>
        <v/>
      </c>
      <c r="I80" s="25" t="str">
        <f aca="false">IF(OR(F80="",H80&lt;&gt;"Car or van"),"",SUMIFS($F$6:F80,$H$6:H80,"Car or van"))</f>
        <v/>
      </c>
      <c r="J80" s="24" t="str">
        <f aca="false">IF(F80="","",IF(H80="Car or van",IF(O80=0,TEXT(INDEX('Notes and sources'!$C$6:$D$6,1,'Start here'!$C$11)*100,"0")&amp;"p",IF(N80=0,TEXT(INDEX('Notes and sources'!$C$7:$D$7,1,'Start here'!$C$11)*100,"0")&amp;"p",TEXT(INDEX('Notes and sources'!$C$6:$D$6,1,'Start here'!$C$11)*100,"0")&amp;"p/"&amp;TEXT(INDEX('Notes and sources'!$C$7:$D$7,1,'Start here'!$C$11)*100,"0")&amp;"p")),IF(H80="Motorcycle",TEXT(INDEX('Notes and sources'!$C$8:$D$8,1,'Start here'!$C$11)*100,"0")&amp;"p",IF(H80="Bicycle",TEXT(INDEX('Notes and sources'!$C$9:$D$9,1,'Start here'!$C$11)*100,"0")&amp;"p",""))))</f>
        <v/>
      </c>
      <c r="K80" s="26" t="str">
        <f aca="false">IF(F80="","",ROUND(IF(H80="Car or van",N80*INDEX('Notes and sources'!$C$6:$D$6,1,'Start here'!$C$11)+O80*INDEX('Notes and sources'!$C$7:$D$7,1,'Start here'!$C$11)+N(G80)*N(F80)*INDEX('Notes and sources'!$C$10:$D$10,1,'Start here'!$C$11),IF(H80="Motorcycle",N(F80)*INDEX('Notes and sources'!$C$8:$D$8,1,'Start here'!$C$11),IF(H80="Bicycle",N(F80)*INDEX('Notes and sources'!$C$9:$D$9,1,'Start here'!$C$11),0))),2))</f>
        <v/>
      </c>
      <c r="L80" s="27"/>
      <c r="N80" s="2" t="n">
        <f aca="false">IF(I80="",0,MAX(0,MIN(N(F80),INDEX('Notes and sources'!$C$12:$D$12,1,'Start here'!$C$11)-(I80-N(F80)))))</f>
        <v>0</v>
      </c>
      <c r="O80" s="2" t="n">
        <f aca="false">IF(I80="",0,N(F80)-N80)</f>
        <v>0</v>
      </c>
      <c r="P80" s="2" t="str">
        <f aca="false">IF(A80="","",IF(AND(MONTH(A80)=4,DAY(A80)&lt;6),13,MOD(MONTH(A80)-4,12)+1))</f>
        <v/>
      </c>
    </row>
    <row r="81" customFormat="false" ht="15" hidden="false" customHeight="false" outlineLevel="0" collapsed="false">
      <c r="A81" s="21"/>
      <c r="B81" s="6"/>
      <c r="C81" s="6"/>
      <c r="D81" s="6"/>
      <c r="E81" s="6"/>
      <c r="F81" s="22"/>
      <c r="G81" s="23"/>
      <c r="H81" s="24" t="str">
        <f aca="false">IF(B81="","",IFERROR(INDEX('Start here'!$C$16:$C$20,MATCH(B81,'Start here'!$B$16:$B$20,0)),"Check vehicle"))</f>
        <v/>
      </c>
      <c r="I81" s="25" t="str">
        <f aca="false">IF(OR(F81="",H81&lt;&gt;"Car or van"),"",SUMIFS($F$6:F81,$H$6:H81,"Car or van"))</f>
        <v/>
      </c>
      <c r="J81" s="24" t="str">
        <f aca="false">IF(F81="","",IF(H81="Car or van",IF(O81=0,TEXT(INDEX('Notes and sources'!$C$6:$D$6,1,'Start here'!$C$11)*100,"0")&amp;"p",IF(N81=0,TEXT(INDEX('Notes and sources'!$C$7:$D$7,1,'Start here'!$C$11)*100,"0")&amp;"p",TEXT(INDEX('Notes and sources'!$C$6:$D$6,1,'Start here'!$C$11)*100,"0")&amp;"p/"&amp;TEXT(INDEX('Notes and sources'!$C$7:$D$7,1,'Start here'!$C$11)*100,"0")&amp;"p")),IF(H81="Motorcycle",TEXT(INDEX('Notes and sources'!$C$8:$D$8,1,'Start here'!$C$11)*100,"0")&amp;"p",IF(H81="Bicycle",TEXT(INDEX('Notes and sources'!$C$9:$D$9,1,'Start here'!$C$11)*100,"0")&amp;"p",""))))</f>
        <v/>
      </c>
      <c r="K81" s="26" t="str">
        <f aca="false">IF(F81="","",ROUND(IF(H81="Car or van",N81*INDEX('Notes and sources'!$C$6:$D$6,1,'Start here'!$C$11)+O81*INDEX('Notes and sources'!$C$7:$D$7,1,'Start here'!$C$11)+N(G81)*N(F81)*INDEX('Notes and sources'!$C$10:$D$10,1,'Start here'!$C$11),IF(H81="Motorcycle",N(F81)*INDEX('Notes and sources'!$C$8:$D$8,1,'Start here'!$C$11),IF(H81="Bicycle",N(F81)*INDEX('Notes and sources'!$C$9:$D$9,1,'Start here'!$C$11),0))),2))</f>
        <v/>
      </c>
      <c r="L81" s="27"/>
      <c r="N81" s="2" t="n">
        <f aca="false">IF(I81="",0,MAX(0,MIN(N(F81),INDEX('Notes and sources'!$C$12:$D$12,1,'Start here'!$C$11)-(I81-N(F81)))))</f>
        <v>0</v>
      </c>
      <c r="O81" s="2" t="n">
        <f aca="false">IF(I81="",0,N(F81)-N81)</f>
        <v>0</v>
      </c>
      <c r="P81" s="2" t="str">
        <f aca="false">IF(A81="","",IF(AND(MONTH(A81)=4,DAY(A81)&lt;6),13,MOD(MONTH(A81)-4,12)+1))</f>
        <v/>
      </c>
    </row>
    <row r="82" customFormat="false" ht="15" hidden="false" customHeight="false" outlineLevel="0" collapsed="false">
      <c r="A82" s="21"/>
      <c r="B82" s="6"/>
      <c r="C82" s="6"/>
      <c r="D82" s="6"/>
      <c r="E82" s="6"/>
      <c r="F82" s="22"/>
      <c r="G82" s="23"/>
      <c r="H82" s="24" t="str">
        <f aca="false">IF(B82="","",IFERROR(INDEX('Start here'!$C$16:$C$20,MATCH(B82,'Start here'!$B$16:$B$20,0)),"Check vehicle"))</f>
        <v/>
      </c>
      <c r="I82" s="25" t="str">
        <f aca="false">IF(OR(F82="",H82&lt;&gt;"Car or van"),"",SUMIFS($F$6:F82,$H$6:H82,"Car or van"))</f>
        <v/>
      </c>
      <c r="J82" s="24" t="str">
        <f aca="false">IF(F82="","",IF(H82="Car or van",IF(O82=0,TEXT(INDEX('Notes and sources'!$C$6:$D$6,1,'Start here'!$C$11)*100,"0")&amp;"p",IF(N82=0,TEXT(INDEX('Notes and sources'!$C$7:$D$7,1,'Start here'!$C$11)*100,"0")&amp;"p",TEXT(INDEX('Notes and sources'!$C$6:$D$6,1,'Start here'!$C$11)*100,"0")&amp;"p/"&amp;TEXT(INDEX('Notes and sources'!$C$7:$D$7,1,'Start here'!$C$11)*100,"0")&amp;"p")),IF(H82="Motorcycle",TEXT(INDEX('Notes and sources'!$C$8:$D$8,1,'Start here'!$C$11)*100,"0")&amp;"p",IF(H82="Bicycle",TEXT(INDEX('Notes and sources'!$C$9:$D$9,1,'Start here'!$C$11)*100,"0")&amp;"p",""))))</f>
        <v/>
      </c>
      <c r="K82" s="26" t="str">
        <f aca="false">IF(F82="","",ROUND(IF(H82="Car or van",N82*INDEX('Notes and sources'!$C$6:$D$6,1,'Start here'!$C$11)+O82*INDEX('Notes and sources'!$C$7:$D$7,1,'Start here'!$C$11)+N(G82)*N(F82)*INDEX('Notes and sources'!$C$10:$D$10,1,'Start here'!$C$11),IF(H82="Motorcycle",N(F82)*INDEX('Notes and sources'!$C$8:$D$8,1,'Start here'!$C$11),IF(H82="Bicycle",N(F82)*INDEX('Notes and sources'!$C$9:$D$9,1,'Start here'!$C$11),0))),2))</f>
        <v/>
      </c>
      <c r="L82" s="27"/>
      <c r="N82" s="2" t="n">
        <f aca="false">IF(I82="",0,MAX(0,MIN(N(F82),INDEX('Notes and sources'!$C$12:$D$12,1,'Start here'!$C$11)-(I82-N(F82)))))</f>
        <v>0</v>
      </c>
      <c r="O82" s="2" t="n">
        <f aca="false">IF(I82="",0,N(F82)-N82)</f>
        <v>0</v>
      </c>
      <c r="P82" s="2" t="str">
        <f aca="false">IF(A82="","",IF(AND(MONTH(A82)=4,DAY(A82)&lt;6),13,MOD(MONTH(A82)-4,12)+1))</f>
        <v/>
      </c>
    </row>
    <row r="83" customFormat="false" ht="15" hidden="false" customHeight="false" outlineLevel="0" collapsed="false">
      <c r="A83" s="21"/>
      <c r="B83" s="6"/>
      <c r="C83" s="6"/>
      <c r="D83" s="6"/>
      <c r="E83" s="6"/>
      <c r="F83" s="22"/>
      <c r="G83" s="23"/>
      <c r="H83" s="24" t="str">
        <f aca="false">IF(B83="","",IFERROR(INDEX('Start here'!$C$16:$C$20,MATCH(B83,'Start here'!$B$16:$B$20,0)),"Check vehicle"))</f>
        <v/>
      </c>
      <c r="I83" s="25" t="str">
        <f aca="false">IF(OR(F83="",H83&lt;&gt;"Car or van"),"",SUMIFS($F$6:F83,$H$6:H83,"Car or van"))</f>
        <v/>
      </c>
      <c r="J83" s="24" t="str">
        <f aca="false">IF(F83="","",IF(H83="Car or van",IF(O83=0,TEXT(INDEX('Notes and sources'!$C$6:$D$6,1,'Start here'!$C$11)*100,"0")&amp;"p",IF(N83=0,TEXT(INDEX('Notes and sources'!$C$7:$D$7,1,'Start here'!$C$11)*100,"0")&amp;"p",TEXT(INDEX('Notes and sources'!$C$6:$D$6,1,'Start here'!$C$11)*100,"0")&amp;"p/"&amp;TEXT(INDEX('Notes and sources'!$C$7:$D$7,1,'Start here'!$C$11)*100,"0")&amp;"p")),IF(H83="Motorcycle",TEXT(INDEX('Notes and sources'!$C$8:$D$8,1,'Start here'!$C$11)*100,"0")&amp;"p",IF(H83="Bicycle",TEXT(INDEX('Notes and sources'!$C$9:$D$9,1,'Start here'!$C$11)*100,"0")&amp;"p",""))))</f>
        <v/>
      </c>
      <c r="K83" s="26" t="str">
        <f aca="false">IF(F83="","",ROUND(IF(H83="Car or van",N83*INDEX('Notes and sources'!$C$6:$D$6,1,'Start here'!$C$11)+O83*INDEX('Notes and sources'!$C$7:$D$7,1,'Start here'!$C$11)+N(G83)*N(F83)*INDEX('Notes and sources'!$C$10:$D$10,1,'Start here'!$C$11),IF(H83="Motorcycle",N(F83)*INDEX('Notes and sources'!$C$8:$D$8,1,'Start here'!$C$11),IF(H83="Bicycle",N(F83)*INDEX('Notes and sources'!$C$9:$D$9,1,'Start here'!$C$11),0))),2))</f>
        <v/>
      </c>
      <c r="L83" s="27"/>
      <c r="N83" s="2" t="n">
        <f aca="false">IF(I83="",0,MAX(0,MIN(N(F83),INDEX('Notes and sources'!$C$12:$D$12,1,'Start here'!$C$11)-(I83-N(F83)))))</f>
        <v>0</v>
      </c>
      <c r="O83" s="2" t="n">
        <f aca="false">IF(I83="",0,N(F83)-N83)</f>
        <v>0</v>
      </c>
      <c r="P83" s="2" t="str">
        <f aca="false">IF(A83="","",IF(AND(MONTH(A83)=4,DAY(A83)&lt;6),13,MOD(MONTH(A83)-4,12)+1))</f>
        <v/>
      </c>
    </row>
    <row r="84" customFormat="false" ht="15" hidden="false" customHeight="false" outlineLevel="0" collapsed="false">
      <c r="A84" s="21"/>
      <c r="B84" s="6"/>
      <c r="C84" s="6"/>
      <c r="D84" s="6"/>
      <c r="E84" s="6"/>
      <c r="F84" s="22"/>
      <c r="G84" s="23"/>
      <c r="H84" s="24" t="str">
        <f aca="false">IF(B84="","",IFERROR(INDEX('Start here'!$C$16:$C$20,MATCH(B84,'Start here'!$B$16:$B$20,0)),"Check vehicle"))</f>
        <v/>
      </c>
      <c r="I84" s="25" t="str">
        <f aca="false">IF(OR(F84="",H84&lt;&gt;"Car or van"),"",SUMIFS($F$6:F84,$H$6:H84,"Car or van"))</f>
        <v/>
      </c>
      <c r="J84" s="24" t="str">
        <f aca="false">IF(F84="","",IF(H84="Car or van",IF(O84=0,TEXT(INDEX('Notes and sources'!$C$6:$D$6,1,'Start here'!$C$11)*100,"0")&amp;"p",IF(N84=0,TEXT(INDEX('Notes and sources'!$C$7:$D$7,1,'Start here'!$C$11)*100,"0")&amp;"p",TEXT(INDEX('Notes and sources'!$C$6:$D$6,1,'Start here'!$C$11)*100,"0")&amp;"p/"&amp;TEXT(INDEX('Notes and sources'!$C$7:$D$7,1,'Start here'!$C$11)*100,"0")&amp;"p")),IF(H84="Motorcycle",TEXT(INDEX('Notes and sources'!$C$8:$D$8,1,'Start here'!$C$11)*100,"0")&amp;"p",IF(H84="Bicycle",TEXT(INDEX('Notes and sources'!$C$9:$D$9,1,'Start here'!$C$11)*100,"0")&amp;"p",""))))</f>
        <v/>
      </c>
      <c r="K84" s="26" t="str">
        <f aca="false">IF(F84="","",ROUND(IF(H84="Car or van",N84*INDEX('Notes and sources'!$C$6:$D$6,1,'Start here'!$C$11)+O84*INDEX('Notes and sources'!$C$7:$D$7,1,'Start here'!$C$11)+N(G84)*N(F84)*INDEX('Notes and sources'!$C$10:$D$10,1,'Start here'!$C$11),IF(H84="Motorcycle",N(F84)*INDEX('Notes and sources'!$C$8:$D$8,1,'Start here'!$C$11),IF(H84="Bicycle",N(F84)*INDEX('Notes and sources'!$C$9:$D$9,1,'Start here'!$C$11),0))),2))</f>
        <v/>
      </c>
      <c r="L84" s="27"/>
      <c r="N84" s="2" t="n">
        <f aca="false">IF(I84="",0,MAX(0,MIN(N(F84),INDEX('Notes and sources'!$C$12:$D$12,1,'Start here'!$C$11)-(I84-N(F84)))))</f>
        <v>0</v>
      </c>
      <c r="O84" s="2" t="n">
        <f aca="false">IF(I84="",0,N(F84)-N84)</f>
        <v>0</v>
      </c>
      <c r="P84" s="2" t="str">
        <f aca="false">IF(A84="","",IF(AND(MONTH(A84)=4,DAY(A84)&lt;6),13,MOD(MONTH(A84)-4,12)+1))</f>
        <v/>
      </c>
    </row>
    <row r="85" customFormat="false" ht="15" hidden="false" customHeight="false" outlineLevel="0" collapsed="false">
      <c r="A85" s="21"/>
      <c r="B85" s="6"/>
      <c r="C85" s="6"/>
      <c r="D85" s="6"/>
      <c r="E85" s="6"/>
      <c r="F85" s="22"/>
      <c r="G85" s="23"/>
      <c r="H85" s="24" t="str">
        <f aca="false">IF(B85="","",IFERROR(INDEX('Start here'!$C$16:$C$20,MATCH(B85,'Start here'!$B$16:$B$20,0)),"Check vehicle"))</f>
        <v/>
      </c>
      <c r="I85" s="25" t="str">
        <f aca="false">IF(OR(F85="",H85&lt;&gt;"Car or van"),"",SUMIFS($F$6:F85,$H$6:H85,"Car or van"))</f>
        <v/>
      </c>
      <c r="J85" s="24" t="str">
        <f aca="false">IF(F85="","",IF(H85="Car or van",IF(O85=0,TEXT(INDEX('Notes and sources'!$C$6:$D$6,1,'Start here'!$C$11)*100,"0")&amp;"p",IF(N85=0,TEXT(INDEX('Notes and sources'!$C$7:$D$7,1,'Start here'!$C$11)*100,"0")&amp;"p",TEXT(INDEX('Notes and sources'!$C$6:$D$6,1,'Start here'!$C$11)*100,"0")&amp;"p/"&amp;TEXT(INDEX('Notes and sources'!$C$7:$D$7,1,'Start here'!$C$11)*100,"0")&amp;"p")),IF(H85="Motorcycle",TEXT(INDEX('Notes and sources'!$C$8:$D$8,1,'Start here'!$C$11)*100,"0")&amp;"p",IF(H85="Bicycle",TEXT(INDEX('Notes and sources'!$C$9:$D$9,1,'Start here'!$C$11)*100,"0")&amp;"p",""))))</f>
        <v/>
      </c>
      <c r="K85" s="26" t="str">
        <f aca="false">IF(F85="","",ROUND(IF(H85="Car or van",N85*INDEX('Notes and sources'!$C$6:$D$6,1,'Start here'!$C$11)+O85*INDEX('Notes and sources'!$C$7:$D$7,1,'Start here'!$C$11)+N(G85)*N(F85)*INDEX('Notes and sources'!$C$10:$D$10,1,'Start here'!$C$11),IF(H85="Motorcycle",N(F85)*INDEX('Notes and sources'!$C$8:$D$8,1,'Start here'!$C$11),IF(H85="Bicycle",N(F85)*INDEX('Notes and sources'!$C$9:$D$9,1,'Start here'!$C$11),0))),2))</f>
        <v/>
      </c>
      <c r="L85" s="27"/>
      <c r="N85" s="2" t="n">
        <f aca="false">IF(I85="",0,MAX(0,MIN(N(F85),INDEX('Notes and sources'!$C$12:$D$12,1,'Start here'!$C$11)-(I85-N(F85)))))</f>
        <v>0</v>
      </c>
      <c r="O85" s="2" t="n">
        <f aca="false">IF(I85="",0,N(F85)-N85)</f>
        <v>0</v>
      </c>
      <c r="P85" s="2" t="str">
        <f aca="false">IF(A85="","",IF(AND(MONTH(A85)=4,DAY(A85)&lt;6),13,MOD(MONTH(A85)-4,12)+1))</f>
        <v/>
      </c>
    </row>
    <row r="86" customFormat="false" ht="15" hidden="false" customHeight="false" outlineLevel="0" collapsed="false">
      <c r="A86" s="21"/>
      <c r="B86" s="6"/>
      <c r="C86" s="6"/>
      <c r="D86" s="6"/>
      <c r="E86" s="6"/>
      <c r="F86" s="22"/>
      <c r="G86" s="23"/>
      <c r="H86" s="24" t="str">
        <f aca="false">IF(B86="","",IFERROR(INDEX('Start here'!$C$16:$C$20,MATCH(B86,'Start here'!$B$16:$B$20,0)),"Check vehicle"))</f>
        <v/>
      </c>
      <c r="I86" s="25" t="str">
        <f aca="false">IF(OR(F86="",H86&lt;&gt;"Car or van"),"",SUMIFS($F$6:F86,$H$6:H86,"Car or van"))</f>
        <v/>
      </c>
      <c r="J86" s="24" t="str">
        <f aca="false">IF(F86="","",IF(H86="Car or van",IF(O86=0,TEXT(INDEX('Notes and sources'!$C$6:$D$6,1,'Start here'!$C$11)*100,"0")&amp;"p",IF(N86=0,TEXT(INDEX('Notes and sources'!$C$7:$D$7,1,'Start here'!$C$11)*100,"0")&amp;"p",TEXT(INDEX('Notes and sources'!$C$6:$D$6,1,'Start here'!$C$11)*100,"0")&amp;"p/"&amp;TEXT(INDEX('Notes and sources'!$C$7:$D$7,1,'Start here'!$C$11)*100,"0")&amp;"p")),IF(H86="Motorcycle",TEXT(INDEX('Notes and sources'!$C$8:$D$8,1,'Start here'!$C$11)*100,"0")&amp;"p",IF(H86="Bicycle",TEXT(INDEX('Notes and sources'!$C$9:$D$9,1,'Start here'!$C$11)*100,"0")&amp;"p",""))))</f>
        <v/>
      </c>
      <c r="K86" s="26" t="str">
        <f aca="false">IF(F86="","",ROUND(IF(H86="Car or van",N86*INDEX('Notes and sources'!$C$6:$D$6,1,'Start here'!$C$11)+O86*INDEX('Notes and sources'!$C$7:$D$7,1,'Start here'!$C$11)+N(G86)*N(F86)*INDEX('Notes and sources'!$C$10:$D$10,1,'Start here'!$C$11),IF(H86="Motorcycle",N(F86)*INDEX('Notes and sources'!$C$8:$D$8,1,'Start here'!$C$11),IF(H86="Bicycle",N(F86)*INDEX('Notes and sources'!$C$9:$D$9,1,'Start here'!$C$11),0))),2))</f>
        <v/>
      </c>
      <c r="L86" s="27"/>
      <c r="N86" s="2" t="n">
        <f aca="false">IF(I86="",0,MAX(0,MIN(N(F86),INDEX('Notes and sources'!$C$12:$D$12,1,'Start here'!$C$11)-(I86-N(F86)))))</f>
        <v>0</v>
      </c>
      <c r="O86" s="2" t="n">
        <f aca="false">IF(I86="",0,N(F86)-N86)</f>
        <v>0</v>
      </c>
      <c r="P86" s="2" t="str">
        <f aca="false">IF(A86="","",IF(AND(MONTH(A86)=4,DAY(A86)&lt;6),13,MOD(MONTH(A86)-4,12)+1))</f>
        <v/>
      </c>
    </row>
    <row r="87" customFormat="false" ht="15" hidden="false" customHeight="false" outlineLevel="0" collapsed="false">
      <c r="A87" s="21"/>
      <c r="B87" s="6"/>
      <c r="C87" s="6"/>
      <c r="D87" s="6"/>
      <c r="E87" s="6"/>
      <c r="F87" s="22"/>
      <c r="G87" s="23"/>
      <c r="H87" s="24" t="str">
        <f aca="false">IF(B87="","",IFERROR(INDEX('Start here'!$C$16:$C$20,MATCH(B87,'Start here'!$B$16:$B$20,0)),"Check vehicle"))</f>
        <v/>
      </c>
      <c r="I87" s="25" t="str">
        <f aca="false">IF(OR(F87="",H87&lt;&gt;"Car or van"),"",SUMIFS($F$6:F87,$H$6:H87,"Car or van"))</f>
        <v/>
      </c>
      <c r="J87" s="24" t="str">
        <f aca="false">IF(F87="","",IF(H87="Car or van",IF(O87=0,TEXT(INDEX('Notes and sources'!$C$6:$D$6,1,'Start here'!$C$11)*100,"0")&amp;"p",IF(N87=0,TEXT(INDEX('Notes and sources'!$C$7:$D$7,1,'Start here'!$C$11)*100,"0")&amp;"p",TEXT(INDEX('Notes and sources'!$C$6:$D$6,1,'Start here'!$C$11)*100,"0")&amp;"p/"&amp;TEXT(INDEX('Notes and sources'!$C$7:$D$7,1,'Start here'!$C$11)*100,"0")&amp;"p")),IF(H87="Motorcycle",TEXT(INDEX('Notes and sources'!$C$8:$D$8,1,'Start here'!$C$11)*100,"0")&amp;"p",IF(H87="Bicycle",TEXT(INDEX('Notes and sources'!$C$9:$D$9,1,'Start here'!$C$11)*100,"0")&amp;"p",""))))</f>
        <v/>
      </c>
      <c r="K87" s="26" t="str">
        <f aca="false">IF(F87="","",ROUND(IF(H87="Car or van",N87*INDEX('Notes and sources'!$C$6:$D$6,1,'Start here'!$C$11)+O87*INDEX('Notes and sources'!$C$7:$D$7,1,'Start here'!$C$11)+N(G87)*N(F87)*INDEX('Notes and sources'!$C$10:$D$10,1,'Start here'!$C$11),IF(H87="Motorcycle",N(F87)*INDEX('Notes and sources'!$C$8:$D$8,1,'Start here'!$C$11),IF(H87="Bicycle",N(F87)*INDEX('Notes and sources'!$C$9:$D$9,1,'Start here'!$C$11),0))),2))</f>
        <v/>
      </c>
      <c r="L87" s="27"/>
      <c r="N87" s="2" t="n">
        <f aca="false">IF(I87="",0,MAX(0,MIN(N(F87),INDEX('Notes and sources'!$C$12:$D$12,1,'Start here'!$C$11)-(I87-N(F87)))))</f>
        <v>0</v>
      </c>
      <c r="O87" s="2" t="n">
        <f aca="false">IF(I87="",0,N(F87)-N87)</f>
        <v>0</v>
      </c>
      <c r="P87" s="2" t="str">
        <f aca="false">IF(A87="","",IF(AND(MONTH(A87)=4,DAY(A87)&lt;6),13,MOD(MONTH(A87)-4,12)+1))</f>
        <v/>
      </c>
    </row>
    <row r="88" customFormat="false" ht="15" hidden="false" customHeight="false" outlineLevel="0" collapsed="false">
      <c r="A88" s="21"/>
      <c r="B88" s="6"/>
      <c r="C88" s="6"/>
      <c r="D88" s="6"/>
      <c r="E88" s="6"/>
      <c r="F88" s="22"/>
      <c r="G88" s="23"/>
      <c r="H88" s="24" t="str">
        <f aca="false">IF(B88="","",IFERROR(INDEX('Start here'!$C$16:$C$20,MATCH(B88,'Start here'!$B$16:$B$20,0)),"Check vehicle"))</f>
        <v/>
      </c>
      <c r="I88" s="25" t="str">
        <f aca="false">IF(OR(F88="",H88&lt;&gt;"Car or van"),"",SUMIFS($F$6:F88,$H$6:H88,"Car or van"))</f>
        <v/>
      </c>
      <c r="J88" s="24" t="str">
        <f aca="false">IF(F88="","",IF(H88="Car or van",IF(O88=0,TEXT(INDEX('Notes and sources'!$C$6:$D$6,1,'Start here'!$C$11)*100,"0")&amp;"p",IF(N88=0,TEXT(INDEX('Notes and sources'!$C$7:$D$7,1,'Start here'!$C$11)*100,"0")&amp;"p",TEXT(INDEX('Notes and sources'!$C$6:$D$6,1,'Start here'!$C$11)*100,"0")&amp;"p/"&amp;TEXT(INDEX('Notes and sources'!$C$7:$D$7,1,'Start here'!$C$11)*100,"0")&amp;"p")),IF(H88="Motorcycle",TEXT(INDEX('Notes and sources'!$C$8:$D$8,1,'Start here'!$C$11)*100,"0")&amp;"p",IF(H88="Bicycle",TEXT(INDEX('Notes and sources'!$C$9:$D$9,1,'Start here'!$C$11)*100,"0")&amp;"p",""))))</f>
        <v/>
      </c>
      <c r="K88" s="26" t="str">
        <f aca="false">IF(F88="","",ROUND(IF(H88="Car or van",N88*INDEX('Notes and sources'!$C$6:$D$6,1,'Start here'!$C$11)+O88*INDEX('Notes and sources'!$C$7:$D$7,1,'Start here'!$C$11)+N(G88)*N(F88)*INDEX('Notes and sources'!$C$10:$D$10,1,'Start here'!$C$11),IF(H88="Motorcycle",N(F88)*INDEX('Notes and sources'!$C$8:$D$8,1,'Start here'!$C$11),IF(H88="Bicycle",N(F88)*INDEX('Notes and sources'!$C$9:$D$9,1,'Start here'!$C$11),0))),2))</f>
        <v/>
      </c>
      <c r="L88" s="27"/>
      <c r="N88" s="2" t="n">
        <f aca="false">IF(I88="",0,MAX(0,MIN(N(F88),INDEX('Notes and sources'!$C$12:$D$12,1,'Start here'!$C$11)-(I88-N(F88)))))</f>
        <v>0</v>
      </c>
      <c r="O88" s="2" t="n">
        <f aca="false">IF(I88="",0,N(F88)-N88)</f>
        <v>0</v>
      </c>
      <c r="P88" s="2" t="str">
        <f aca="false">IF(A88="","",IF(AND(MONTH(A88)=4,DAY(A88)&lt;6),13,MOD(MONTH(A88)-4,12)+1))</f>
        <v/>
      </c>
    </row>
    <row r="89" customFormat="false" ht="15" hidden="false" customHeight="false" outlineLevel="0" collapsed="false">
      <c r="A89" s="21"/>
      <c r="B89" s="6"/>
      <c r="C89" s="6"/>
      <c r="D89" s="6"/>
      <c r="E89" s="6"/>
      <c r="F89" s="22"/>
      <c r="G89" s="23"/>
      <c r="H89" s="24" t="str">
        <f aca="false">IF(B89="","",IFERROR(INDEX('Start here'!$C$16:$C$20,MATCH(B89,'Start here'!$B$16:$B$20,0)),"Check vehicle"))</f>
        <v/>
      </c>
      <c r="I89" s="25" t="str">
        <f aca="false">IF(OR(F89="",H89&lt;&gt;"Car or van"),"",SUMIFS($F$6:F89,$H$6:H89,"Car or van"))</f>
        <v/>
      </c>
      <c r="J89" s="24" t="str">
        <f aca="false">IF(F89="","",IF(H89="Car or van",IF(O89=0,TEXT(INDEX('Notes and sources'!$C$6:$D$6,1,'Start here'!$C$11)*100,"0")&amp;"p",IF(N89=0,TEXT(INDEX('Notes and sources'!$C$7:$D$7,1,'Start here'!$C$11)*100,"0")&amp;"p",TEXT(INDEX('Notes and sources'!$C$6:$D$6,1,'Start here'!$C$11)*100,"0")&amp;"p/"&amp;TEXT(INDEX('Notes and sources'!$C$7:$D$7,1,'Start here'!$C$11)*100,"0")&amp;"p")),IF(H89="Motorcycle",TEXT(INDEX('Notes and sources'!$C$8:$D$8,1,'Start here'!$C$11)*100,"0")&amp;"p",IF(H89="Bicycle",TEXT(INDEX('Notes and sources'!$C$9:$D$9,1,'Start here'!$C$11)*100,"0")&amp;"p",""))))</f>
        <v/>
      </c>
      <c r="K89" s="26" t="str">
        <f aca="false">IF(F89="","",ROUND(IF(H89="Car or van",N89*INDEX('Notes and sources'!$C$6:$D$6,1,'Start here'!$C$11)+O89*INDEX('Notes and sources'!$C$7:$D$7,1,'Start here'!$C$11)+N(G89)*N(F89)*INDEX('Notes and sources'!$C$10:$D$10,1,'Start here'!$C$11),IF(H89="Motorcycle",N(F89)*INDEX('Notes and sources'!$C$8:$D$8,1,'Start here'!$C$11),IF(H89="Bicycle",N(F89)*INDEX('Notes and sources'!$C$9:$D$9,1,'Start here'!$C$11),0))),2))</f>
        <v/>
      </c>
      <c r="L89" s="27"/>
      <c r="N89" s="2" t="n">
        <f aca="false">IF(I89="",0,MAX(0,MIN(N(F89),INDEX('Notes and sources'!$C$12:$D$12,1,'Start here'!$C$11)-(I89-N(F89)))))</f>
        <v>0</v>
      </c>
      <c r="O89" s="2" t="n">
        <f aca="false">IF(I89="",0,N(F89)-N89)</f>
        <v>0</v>
      </c>
      <c r="P89" s="2" t="str">
        <f aca="false">IF(A89="","",IF(AND(MONTH(A89)=4,DAY(A89)&lt;6),13,MOD(MONTH(A89)-4,12)+1))</f>
        <v/>
      </c>
    </row>
    <row r="90" customFormat="false" ht="15" hidden="false" customHeight="false" outlineLevel="0" collapsed="false">
      <c r="A90" s="21"/>
      <c r="B90" s="6"/>
      <c r="C90" s="6"/>
      <c r="D90" s="6"/>
      <c r="E90" s="6"/>
      <c r="F90" s="22"/>
      <c r="G90" s="23"/>
      <c r="H90" s="24" t="str">
        <f aca="false">IF(B90="","",IFERROR(INDEX('Start here'!$C$16:$C$20,MATCH(B90,'Start here'!$B$16:$B$20,0)),"Check vehicle"))</f>
        <v/>
      </c>
      <c r="I90" s="25" t="str">
        <f aca="false">IF(OR(F90="",H90&lt;&gt;"Car or van"),"",SUMIFS($F$6:F90,$H$6:H90,"Car or van"))</f>
        <v/>
      </c>
      <c r="J90" s="24" t="str">
        <f aca="false">IF(F90="","",IF(H90="Car or van",IF(O90=0,TEXT(INDEX('Notes and sources'!$C$6:$D$6,1,'Start here'!$C$11)*100,"0")&amp;"p",IF(N90=0,TEXT(INDEX('Notes and sources'!$C$7:$D$7,1,'Start here'!$C$11)*100,"0")&amp;"p",TEXT(INDEX('Notes and sources'!$C$6:$D$6,1,'Start here'!$C$11)*100,"0")&amp;"p/"&amp;TEXT(INDEX('Notes and sources'!$C$7:$D$7,1,'Start here'!$C$11)*100,"0")&amp;"p")),IF(H90="Motorcycle",TEXT(INDEX('Notes and sources'!$C$8:$D$8,1,'Start here'!$C$11)*100,"0")&amp;"p",IF(H90="Bicycle",TEXT(INDEX('Notes and sources'!$C$9:$D$9,1,'Start here'!$C$11)*100,"0")&amp;"p",""))))</f>
        <v/>
      </c>
      <c r="K90" s="26" t="str">
        <f aca="false">IF(F90="","",ROUND(IF(H90="Car or van",N90*INDEX('Notes and sources'!$C$6:$D$6,1,'Start here'!$C$11)+O90*INDEX('Notes and sources'!$C$7:$D$7,1,'Start here'!$C$11)+N(G90)*N(F90)*INDEX('Notes and sources'!$C$10:$D$10,1,'Start here'!$C$11),IF(H90="Motorcycle",N(F90)*INDEX('Notes and sources'!$C$8:$D$8,1,'Start here'!$C$11),IF(H90="Bicycle",N(F90)*INDEX('Notes and sources'!$C$9:$D$9,1,'Start here'!$C$11),0))),2))</f>
        <v/>
      </c>
      <c r="L90" s="27"/>
      <c r="N90" s="2" t="n">
        <f aca="false">IF(I90="",0,MAX(0,MIN(N(F90),INDEX('Notes and sources'!$C$12:$D$12,1,'Start here'!$C$11)-(I90-N(F90)))))</f>
        <v>0</v>
      </c>
      <c r="O90" s="2" t="n">
        <f aca="false">IF(I90="",0,N(F90)-N90)</f>
        <v>0</v>
      </c>
      <c r="P90" s="2" t="str">
        <f aca="false">IF(A90="","",IF(AND(MONTH(A90)=4,DAY(A90)&lt;6),13,MOD(MONTH(A90)-4,12)+1))</f>
        <v/>
      </c>
    </row>
    <row r="91" customFormat="false" ht="15" hidden="false" customHeight="false" outlineLevel="0" collapsed="false">
      <c r="A91" s="21"/>
      <c r="B91" s="6"/>
      <c r="C91" s="6"/>
      <c r="D91" s="6"/>
      <c r="E91" s="6"/>
      <c r="F91" s="22"/>
      <c r="G91" s="23"/>
      <c r="H91" s="24" t="str">
        <f aca="false">IF(B91="","",IFERROR(INDEX('Start here'!$C$16:$C$20,MATCH(B91,'Start here'!$B$16:$B$20,0)),"Check vehicle"))</f>
        <v/>
      </c>
      <c r="I91" s="25" t="str">
        <f aca="false">IF(OR(F91="",H91&lt;&gt;"Car or van"),"",SUMIFS($F$6:F91,$H$6:H91,"Car or van"))</f>
        <v/>
      </c>
      <c r="J91" s="24" t="str">
        <f aca="false">IF(F91="","",IF(H91="Car or van",IF(O91=0,TEXT(INDEX('Notes and sources'!$C$6:$D$6,1,'Start here'!$C$11)*100,"0")&amp;"p",IF(N91=0,TEXT(INDEX('Notes and sources'!$C$7:$D$7,1,'Start here'!$C$11)*100,"0")&amp;"p",TEXT(INDEX('Notes and sources'!$C$6:$D$6,1,'Start here'!$C$11)*100,"0")&amp;"p/"&amp;TEXT(INDEX('Notes and sources'!$C$7:$D$7,1,'Start here'!$C$11)*100,"0")&amp;"p")),IF(H91="Motorcycle",TEXT(INDEX('Notes and sources'!$C$8:$D$8,1,'Start here'!$C$11)*100,"0")&amp;"p",IF(H91="Bicycle",TEXT(INDEX('Notes and sources'!$C$9:$D$9,1,'Start here'!$C$11)*100,"0")&amp;"p",""))))</f>
        <v/>
      </c>
      <c r="K91" s="26" t="str">
        <f aca="false">IF(F91="","",ROUND(IF(H91="Car or van",N91*INDEX('Notes and sources'!$C$6:$D$6,1,'Start here'!$C$11)+O91*INDEX('Notes and sources'!$C$7:$D$7,1,'Start here'!$C$11)+N(G91)*N(F91)*INDEX('Notes and sources'!$C$10:$D$10,1,'Start here'!$C$11),IF(H91="Motorcycle",N(F91)*INDEX('Notes and sources'!$C$8:$D$8,1,'Start here'!$C$11),IF(H91="Bicycle",N(F91)*INDEX('Notes and sources'!$C$9:$D$9,1,'Start here'!$C$11),0))),2))</f>
        <v/>
      </c>
      <c r="L91" s="27"/>
      <c r="N91" s="2" t="n">
        <f aca="false">IF(I91="",0,MAX(0,MIN(N(F91),INDEX('Notes and sources'!$C$12:$D$12,1,'Start here'!$C$11)-(I91-N(F91)))))</f>
        <v>0</v>
      </c>
      <c r="O91" s="2" t="n">
        <f aca="false">IF(I91="",0,N(F91)-N91)</f>
        <v>0</v>
      </c>
      <c r="P91" s="2" t="str">
        <f aca="false">IF(A91="","",IF(AND(MONTH(A91)=4,DAY(A91)&lt;6),13,MOD(MONTH(A91)-4,12)+1))</f>
        <v/>
      </c>
    </row>
    <row r="92" customFormat="false" ht="15" hidden="false" customHeight="false" outlineLevel="0" collapsed="false">
      <c r="A92" s="21"/>
      <c r="B92" s="6"/>
      <c r="C92" s="6"/>
      <c r="D92" s="6"/>
      <c r="E92" s="6"/>
      <c r="F92" s="22"/>
      <c r="G92" s="23"/>
      <c r="H92" s="24" t="str">
        <f aca="false">IF(B92="","",IFERROR(INDEX('Start here'!$C$16:$C$20,MATCH(B92,'Start here'!$B$16:$B$20,0)),"Check vehicle"))</f>
        <v/>
      </c>
      <c r="I92" s="25" t="str">
        <f aca="false">IF(OR(F92="",H92&lt;&gt;"Car or van"),"",SUMIFS($F$6:F92,$H$6:H92,"Car or van"))</f>
        <v/>
      </c>
      <c r="J92" s="24" t="str">
        <f aca="false">IF(F92="","",IF(H92="Car or van",IF(O92=0,TEXT(INDEX('Notes and sources'!$C$6:$D$6,1,'Start here'!$C$11)*100,"0")&amp;"p",IF(N92=0,TEXT(INDEX('Notes and sources'!$C$7:$D$7,1,'Start here'!$C$11)*100,"0")&amp;"p",TEXT(INDEX('Notes and sources'!$C$6:$D$6,1,'Start here'!$C$11)*100,"0")&amp;"p/"&amp;TEXT(INDEX('Notes and sources'!$C$7:$D$7,1,'Start here'!$C$11)*100,"0")&amp;"p")),IF(H92="Motorcycle",TEXT(INDEX('Notes and sources'!$C$8:$D$8,1,'Start here'!$C$11)*100,"0")&amp;"p",IF(H92="Bicycle",TEXT(INDEX('Notes and sources'!$C$9:$D$9,1,'Start here'!$C$11)*100,"0")&amp;"p",""))))</f>
        <v/>
      </c>
      <c r="K92" s="26" t="str">
        <f aca="false">IF(F92="","",ROUND(IF(H92="Car or van",N92*INDEX('Notes and sources'!$C$6:$D$6,1,'Start here'!$C$11)+O92*INDEX('Notes and sources'!$C$7:$D$7,1,'Start here'!$C$11)+N(G92)*N(F92)*INDEX('Notes and sources'!$C$10:$D$10,1,'Start here'!$C$11),IF(H92="Motorcycle",N(F92)*INDEX('Notes and sources'!$C$8:$D$8,1,'Start here'!$C$11),IF(H92="Bicycle",N(F92)*INDEX('Notes and sources'!$C$9:$D$9,1,'Start here'!$C$11),0))),2))</f>
        <v/>
      </c>
      <c r="L92" s="27"/>
      <c r="N92" s="2" t="n">
        <f aca="false">IF(I92="",0,MAX(0,MIN(N(F92),INDEX('Notes and sources'!$C$12:$D$12,1,'Start here'!$C$11)-(I92-N(F92)))))</f>
        <v>0</v>
      </c>
      <c r="O92" s="2" t="n">
        <f aca="false">IF(I92="",0,N(F92)-N92)</f>
        <v>0</v>
      </c>
      <c r="P92" s="2" t="str">
        <f aca="false">IF(A92="","",IF(AND(MONTH(A92)=4,DAY(A92)&lt;6),13,MOD(MONTH(A92)-4,12)+1))</f>
        <v/>
      </c>
    </row>
    <row r="93" customFormat="false" ht="15" hidden="false" customHeight="false" outlineLevel="0" collapsed="false">
      <c r="A93" s="21"/>
      <c r="B93" s="6"/>
      <c r="C93" s="6"/>
      <c r="D93" s="6"/>
      <c r="E93" s="6"/>
      <c r="F93" s="22"/>
      <c r="G93" s="23"/>
      <c r="H93" s="24" t="str">
        <f aca="false">IF(B93="","",IFERROR(INDEX('Start here'!$C$16:$C$20,MATCH(B93,'Start here'!$B$16:$B$20,0)),"Check vehicle"))</f>
        <v/>
      </c>
      <c r="I93" s="25" t="str">
        <f aca="false">IF(OR(F93="",H93&lt;&gt;"Car or van"),"",SUMIFS($F$6:F93,$H$6:H93,"Car or van"))</f>
        <v/>
      </c>
      <c r="J93" s="24" t="str">
        <f aca="false">IF(F93="","",IF(H93="Car or van",IF(O93=0,TEXT(INDEX('Notes and sources'!$C$6:$D$6,1,'Start here'!$C$11)*100,"0")&amp;"p",IF(N93=0,TEXT(INDEX('Notes and sources'!$C$7:$D$7,1,'Start here'!$C$11)*100,"0")&amp;"p",TEXT(INDEX('Notes and sources'!$C$6:$D$6,1,'Start here'!$C$11)*100,"0")&amp;"p/"&amp;TEXT(INDEX('Notes and sources'!$C$7:$D$7,1,'Start here'!$C$11)*100,"0")&amp;"p")),IF(H93="Motorcycle",TEXT(INDEX('Notes and sources'!$C$8:$D$8,1,'Start here'!$C$11)*100,"0")&amp;"p",IF(H93="Bicycle",TEXT(INDEX('Notes and sources'!$C$9:$D$9,1,'Start here'!$C$11)*100,"0")&amp;"p",""))))</f>
        <v/>
      </c>
      <c r="K93" s="26" t="str">
        <f aca="false">IF(F93="","",ROUND(IF(H93="Car or van",N93*INDEX('Notes and sources'!$C$6:$D$6,1,'Start here'!$C$11)+O93*INDEX('Notes and sources'!$C$7:$D$7,1,'Start here'!$C$11)+N(G93)*N(F93)*INDEX('Notes and sources'!$C$10:$D$10,1,'Start here'!$C$11),IF(H93="Motorcycle",N(F93)*INDEX('Notes and sources'!$C$8:$D$8,1,'Start here'!$C$11),IF(H93="Bicycle",N(F93)*INDEX('Notes and sources'!$C$9:$D$9,1,'Start here'!$C$11),0))),2))</f>
        <v/>
      </c>
      <c r="L93" s="27"/>
      <c r="N93" s="2" t="n">
        <f aca="false">IF(I93="",0,MAX(0,MIN(N(F93),INDEX('Notes and sources'!$C$12:$D$12,1,'Start here'!$C$11)-(I93-N(F93)))))</f>
        <v>0</v>
      </c>
      <c r="O93" s="2" t="n">
        <f aca="false">IF(I93="",0,N(F93)-N93)</f>
        <v>0</v>
      </c>
      <c r="P93" s="2" t="str">
        <f aca="false">IF(A93="","",IF(AND(MONTH(A93)=4,DAY(A93)&lt;6),13,MOD(MONTH(A93)-4,12)+1))</f>
        <v/>
      </c>
    </row>
    <row r="94" customFormat="false" ht="15" hidden="false" customHeight="false" outlineLevel="0" collapsed="false">
      <c r="A94" s="21"/>
      <c r="B94" s="6"/>
      <c r="C94" s="6"/>
      <c r="D94" s="6"/>
      <c r="E94" s="6"/>
      <c r="F94" s="22"/>
      <c r="G94" s="23"/>
      <c r="H94" s="24" t="str">
        <f aca="false">IF(B94="","",IFERROR(INDEX('Start here'!$C$16:$C$20,MATCH(B94,'Start here'!$B$16:$B$20,0)),"Check vehicle"))</f>
        <v/>
      </c>
      <c r="I94" s="25" t="str">
        <f aca="false">IF(OR(F94="",H94&lt;&gt;"Car or van"),"",SUMIFS($F$6:F94,$H$6:H94,"Car or van"))</f>
        <v/>
      </c>
      <c r="J94" s="24" t="str">
        <f aca="false">IF(F94="","",IF(H94="Car or van",IF(O94=0,TEXT(INDEX('Notes and sources'!$C$6:$D$6,1,'Start here'!$C$11)*100,"0")&amp;"p",IF(N94=0,TEXT(INDEX('Notes and sources'!$C$7:$D$7,1,'Start here'!$C$11)*100,"0")&amp;"p",TEXT(INDEX('Notes and sources'!$C$6:$D$6,1,'Start here'!$C$11)*100,"0")&amp;"p/"&amp;TEXT(INDEX('Notes and sources'!$C$7:$D$7,1,'Start here'!$C$11)*100,"0")&amp;"p")),IF(H94="Motorcycle",TEXT(INDEX('Notes and sources'!$C$8:$D$8,1,'Start here'!$C$11)*100,"0")&amp;"p",IF(H94="Bicycle",TEXT(INDEX('Notes and sources'!$C$9:$D$9,1,'Start here'!$C$11)*100,"0")&amp;"p",""))))</f>
        <v/>
      </c>
      <c r="K94" s="26" t="str">
        <f aca="false">IF(F94="","",ROUND(IF(H94="Car or van",N94*INDEX('Notes and sources'!$C$6:$D$6,1,'Start here'!$C$11)+O94*INDEX('Notes and sources'!$C$7:$D$7,1,'Start here'!$C$11)+N(G94)*N(F94)*INDEX('Notes and sources'!$C$10:$D$10,1,'Start here'!$C$11),IF(H94="Motorcycle",N(F94)*INDEX('Notes and sources'!$C$8:$D$8,1,'Start here'!$C$11),IF(H94="Bicycle",N(F94)*INDEX('Notes and sources'!$C$9:$D$9,1,'Start here'!$C$11),0))),2))</f>
        <v/>
      </c>
      <c r="L94" s="27"/>
      <c r="N94" s="2" t="n">
        <f aca="false">IF(I94="",0,MAX(0,MIN(N(F94),INDEX('Notes and sources'!$C$12:$D$12,1,'Start here'!$C$11)-(I94-N(F94)))))</f>
        <v>0</v>
      </c>
      <c r="O94" s="2" t="n">
        <f aca="false">IF(I94="",0,N(F94)-N94)</f>
        <v>0</v>
      </c>
      <c r="P94" s="2" t="str">
        <f aca="false">IF(A94="","",IF(AND(MONTH(A94)=4,DAY(A94)&lt;6),13,MOD(MONTH(A94)-4,12)+1))</f>
        <v/>
      </c>
    </row>
    <row r="95" customFormat="false" ht="15" hidden="false" customHeight="false" outlineLevel="0" collapsed="false">
      <c r="A95" s="21"/>
      <c r="B95" s="6"/>
      <c r="C95" s="6"/>
      <c r="D95" s="6"/>
      <c r="E95" s="6"/>
      <c r="F95" s="22"/>
      <c r="G95" s="23"/>
      <c r="H95" s="24" t="str">
        <f aca="false">IF(B95="","",IFERROR(INDEX('Start here'!$C$16:$C$20,MATCH(B95,'Start here'!$B$16:$B$20,0)),"Check vehicle"))</f>
        <v/>
      </c>
      <c r="I95" s="25" t="str">
        <f aca="false">IF(OR(F95="",H95&lt;&gt;"Car or van"),"",SUMIFS($F$6:F95,$H$6:H95,"Car or van"))</f>
        <v/>
      </c>
      <c r="J95" s="24" t="str">
        <f aca="false">IF(F95="","",IF(H95="Car or van",IF(O95=0,TEXT(INDEX('Notes and sources'!$C$6:$D$6,1,'Start here'!$C$11)*100,"0")&amp;"p",IF(N95=0,TEXT(INDEX('Notes and sources'!$C$7:$D$7,1,'Start here'!$C$11)*100,"0")&amp;"p",TEXT(INDEX('Notes and sources'!$C$6:$D$6,1,'Start here'!$C$11)*100,"0")&amp;"p/"&amp;TEXT(INDEX('Notes and sources'!$C$7:$D$7,1,'Start here'!$C$11)*100,"0")&amp;"p")),IF(H95="Motorcycle",TEXT(INDEX('Notes and sources'!$C$8:$D$8,1,'Start here'!$C$11)*100,"0")&amp;"p",IF(H95="Bicycle",TEXT(INDEX('Notes and sources'!$C$9:$D$9,1,'Start here'!$C$11)*100,"0")&amp;"p",""))))</f>
        <v/>
      </c>
      <c r="K95" s="26" t="str">
        <f aca="false">IF(F95="","",ROUND(IF(H95="Car or van",N95*INDEX('Notes and sources'!$C$6:$D$6,1,'Start here'!$C$11)+O95*INDEX('Notes and sources'!$C$7:$D$7,1,'Start here'!$C$11)+N(G95)*N(F95)*INDEX('Notes and sources'!$C$10:$D$10,1,'Start here'!$C$11),IF(H95="Motorcycle",N(F95)*INDEX('Notes and sources'!$C$8:$D$8,1,'Start here'!$C$11),IF(H95="Bicycle",N(F95)*INDEX('Notes and sources'!$C$9:$D$9,1,'Start here'!$C$11),0))),2))</f>
        <v/>
      </c>
      <c r="L95" s="27"/>
      <c r="N95" s="2" t="n">
        <f aca="false">IF(I95="",0,MAX(0,MIN(N(F95),INDEX('Notes and sources'!$C$12:$D$12,1,'Start here'!$C$11)-(I95-N(F95)))))</f>
        <v>0</v>
      </c>
      <c r="O95" s="2" t="n">
        <f aca="false">IF(I95="",0,N(F95)-N95)</f>
        <v>0</v>
      </c>
      <c r="P95" s="2" t="str">
        <f aca="false">IF(A95="","",IF(AND(MONTH(A95)=4,DAY(A95)&lt;6),13,MOD(MONTH(A95)-4,12)+1))</f>
        <v/>
      </c>
    </row>
    <row r="96" customFormat="false" ht="15" hidden="false" customHeight="false" outlineLevel="0" collapsed="false">
      <c r="A96" s="21"/>
      <c r="B96" s="6"/>
      <c r="C96" s="6"/>
      <c r="D96" s="6"/>
      <c r="E96" s="6"/>
      <c r="F96" s="22"/>
      <c r="G96" s="23"/>
      <c r="H96" s="24" t="str">
        <f aca="false">IF(B96="","",IFERROR(INDEX('Start here'!$C$16:$C$20,MATCH(B96,'Start here'!$B$16:$B$20,0)),"Check vehicle"))</f>
        <v/>
      </c>
      <c r="I96" s="25" t="str">
        <f aca="false">IF(OR(F96="",H96&lt;&gt;"Car or van"),"",SUMIFS($F$6:F96,$H$6:H96,"Car or van"))</f>
        <v/>
      </c>
      <c r="J96" s="24" t="str">
        <f aca="false">IF(F96="","",IF(H96="Car or van",IF(O96=0,TEXT(INDEX('Notes and sources'!$C$6:$D$6,1,'Start here'!$C$11)*100,"0")&amp;"p",IF(N96=0,TEXT(INDEX('Notes and sources'!$C$7:$D$7,1,'Start here'!$C$11)*100,"0")&amp;"p",TEXT(INDEX('Notes and sources'!$C$6:$D$6,1,'Start here'!$C$11)*100,"0")&amp;"p/"&amp;TEXT(INDEX('Notes and sources'!$C$7:$D$7,1,'Start here'!$C$11)*100,"0")&amp;"p")),IF(H96="Motorcycle",TEXT(INDEX('Notes and sources'!$C$8:$D$8,1,'Start here'!$C$11)*100,"0")&amp;"p",IF(H96="Bicycle",TEXT(INDEX('Notes and sources'!$C$9:$D$9,1,'Start here'!$C$11)*100,"0")&amp;"p",""))))</f>
        <v/>
      </c>
      <c r="K96" s="26" t="str">
        <f aca="false">IF(F96="","",ROUND(IF(H96="Car or van",N96*INDEX('Notes and sources'!$C$6:$D$6,1,'Start here'!$C$11)+O96*INDEX('Notes and sources'!$C$7:$D$7,1,'Start here'!$C$11)+N(G96)*N(F96)*INDEX('Notes and sources'!$C$10:$D$10,1,'Start here'!$C$11),IF(H96="Motorcycle",N(F96)*INDEX('Notes and sources'!$C$8:$D$8,1,'Start here'!$C$11),IF(H96="Bicycle",N(F96)*INDEX('Notes and sources'!$C$9:$D$9,1,'Start here'!$C$11),0))),2))</f>
        <v/>
      </c>
      <c r="L96" s="27"/>
      <c r="N96" s="2" t="n">
        <f aca="false">IF(I96="",0,MAX(0,MIN(N(F96),INDEX('Notes and sources'!$C$12:$D$12,1,'Start here'!$C$11)-(I96-N(F96)))))</f>
        <v>0</v>
      </c>
      <c r="O96" s="2" t="n">
        <f aca="false">IF(I96="",0,N(F96)-N96)</f>
        <v>0</v>
      </c>
      <c r="P96" s="2" t="str">
        <f aca="false">IF(A96="","",IF(AND(MONTH(A96)=4,DAY(A96)&lt;6),13,MOD(MONTH(A96)-4,12)+1))</f>
        <v/>
      </c>
    </row>
    <row r="97" customFormat="false" ht="15" hidden="false" customHeight="false" outlineLevel="0" collapsed="false">
      <c r="A97" s="21"/>
      <c r="B97" s="6"/>
      <c r="C97" s="6"/>
      <c r="D97" s="6"/>
      <c r="E97" s="6"/>
      <c r="F97" s="22"/>
      <c r="G97" s="23"/>
      <c r="H97" s="24" t="str">
        <f aca="false">IF(B97="","",IFERROR(INDEX('Start here'!$C$16:$C$20,MATCH(B97,'Start here'!$B$16:$B$20,0)),"Check vehicle"))</f>
        <v/>
      </c>
      <c r="I97" s="25" t="str">
        <f aca="false">IF(OR(F97="",H97&lt;&gt;"Car or van"),"",SUMIFS($F$6:F97,$H$6:H97,"Car or van"))</f>
        <v/>
      </c>
      <c r="J97" s="24" t="str">
        <f aca="false">IF(F97="","",IF(H97="Car or van",IF(O97=0,TEXT(INDEX('Notes and sources'!$C$6:$D$6,1,'Start here'!$C$11)*100,"0")&amp;"p",IF(N97=0,TEXT(INDEX('Notes and sources'!$C$7:$D$7,1,'Start here'!$C$11)*100,"0")&amp;"p",TEXT(INDEX('Notes and sources'!$C$6:$D$6,1,'Start here'!$C$11)*100,"0")&amp;"p/"&amp;TEXT(INDEX('Notes and sources'!$C$7:$D$7,1,'Start here'!$C$11)*100,"0")&amp;"p")),IF(H97="Motorcycle",TEXT(INDEX('Notes and sources'!$C$8:$D$8,1,'Start here'!$C$11)*100,"0")&amp;"p",IF(H97="Bicycle",TEXT(INDEX('Notes and sources'!$C$9:$D$9,1,'Start here'!$C$11)*100,"0")&amp;"p",""))))</f>
        <v/>
      </c>
      <c r="K97" s="26" t="str">
        <f aca="false">IF(F97="","",ROUND(IF(H97="Car or van",N97*INDEX('Notes and sources'!$C$6:$D$6,1,'Start here'!$C$11)+O97*INDEX('Notes and sources'!$C$7:$D$7,1,'Start here'!$C$11)+N(G97)*N(F97)*INDEX('Notes and sources'!$C$10:$D$10,1,'Start here'!$C$11),IF(H97="Motorcycle",N(F97)*INDEX('Notes and sources'!$C$8:$D$8,1,'Start here'!$C$11),IF(H97="Bicycle",N(F97)*INDEX('Notes and sources'!$C$9:$D$9,1,'Start here'!$C$11),0))),2))</f>
        <v/>
      </c>
      <c r="L97" s="27"/>
      <c r="N97" s="2" t="n">
        <f aca="false">IF(I97="",0,MAX(0,MIN(N(F97),INDEX('Notes and sources'!$C$12:$D$12,1,'Start here'!$C$11)-(I97-N(F97)))))</f>
        <v>0</v>
      </c>
      <c r="O97" s="2" t="n">
        <f aca="false">IF(I97="",0,N(F97)-N97)</f>
        <v>0</v>
      </c>
      <c r="P97" s="2" t="str">
        <f aca="false">IF(A97="","",IF(AND(MONTH(A97)=4,DAY(A97)&lt;6),13,MOD(MONTH(A97)-4,12)+1))</f>
        <v/>
      </c>
    </row>
    <row r="98" customFormat="false" ht="15" hidden="false" customHeight="false" outlineLevel="0" collapsed="false">
      <c r="A98" s="21"/>
      <c r="B98" s="6"/>
      <c r="C98" s="6"/>
      <c r="D98" s="6"/>
      <c r="E98" s="6"/>
      <c r="F98" s="22"/>
      <c r="G98" s="23"/>
      <c r="H98" s="24" t="str">
        <f aca="false">IF(B98="","",IFERROR(INDEX('Start here'!$C$16:$C$20,MATCH(B98,'Start here'!$B$16:$B$20,0)),"Check vehicle"))</f>
        <v/>
      </c>
      <c r="I98" s="25" t="str">
        <f aca="false">IF(OR(F98="",H98&lt;&gt;"Car or van"),"",SUMIFS($F$6:F98,$H$6:H98,"Car or van"))</f>
        <v/>
      </c>
      <c r="J98" s="24" t="str">
        <f aca="false">IF(F98="","",IF(H98="Car or van",IF(O98=0,TEXT(INDEX('Notes and sources'!$C$6:$D$6,1,'Start here'!$C$11)*100,"0")&amp;"p",IF(N98=0,TEXT(INDEX('Notes and sources'!$C$7:$D$7,1,'Start here'!$C$11)*100,"0")&amp;"p",TEXT(INDEX('Notes and sources'!$C$6:$D$6,1,'Start here'!$C$11)*100,"0")&amp;"p/"&amp;TEXT(INDEX('Notes and sources'!$C$7:$D$7,1,'Start here'!$C$11)*100,"0")&amp;"p")),IF(H98="Motorcycle",TEXT(INDEX('Notes and sources'!$C$8:$D$8,1,'Start here'!$C$11)*100,"0")&amp;"p",IF(H98="Bicycle",TEXT(INDEX('Notes and sources'!$C$9:$D$9,1,'Start here'!$C$11)*100,"0")&amp;"p",""))))</f>
        <v/>
      </c>
      <c r="K98" s="26" t="str">
        <f aca="false">IF(F98="","",ROUND(IF(H98="Car or van",N98*INDEX('Notes and sources'!$C$6:$D$6,1,'Start here'!$C$11)+O98*INDEX('Notes and sources'!$C$7:$D$7,1,'Start here'!$C$11)+N(G98)*N(F98)*INDEX('Notes and sources'!$C$10:$D$10,1,'Start here'!$C$11),IF(H98="Motorcycle",N(F98)*INDEX('Notes and sources'!$C$8:$D$8,1,'Start here'!$C$11),IF(H98="Bicycle",N(F98)*INDEX('Notes and sources'!$C$9:$D$9,1,'Start here'!$C$11),0))),2))</f>
        <v/>
      </c>
      <c r="L98" s="27"/>
      <c r="N98" s="2" t="n">
        <f aca="false">IF(I98="",0,MAX(0,MIN(N(F98),INDEX('Notes and sources'!$C$12:$D$12,1,'Start here'!$C$11)-(I98-N(F98)))))</f>
        <v>0</v>
      </c>
      <c r="O98" s="2" t="n">
        <f aca="false">IF(I98="",0,N(F98)-N98)</f>
        <v>0</v>
      </c>
      <c r="P98" s="2" t="str">
        <f aca="false">IF(A98="","",IF(AND(MONTH(A98)=4,DAY(A98)&lt;6),13,MOD(MONTH(A98)-4,12)+1))</f>
        <v/>
      </c>
    </row>
    <row r="99" customFormat="false" ht="15" hidden="false" customHeight="false" outlineLevel="0" collapsed="false">
      <c r="A99" s="21"/>
      <c r="B99" s="6"/>
      <c r="C99" s="6"/>
      <c r="D99" s="6"/>
      <c r="E99" s="6"/>
      <c r="F99" s="22"/>
      <c r="G99" s="23"/>
      <c r="H99" s="24" t="str">
        <f aca="false">IF(B99="","",IFERROR(INDEX('Start here'!$C$16:$C$20,MATCH(B99,'Start here'!$B$16:$B$20,0)),"Check vehicle"))</f>
        <v/>
      </c>
      <c r="I99" s="25" t="str">
        <f aca="false">IF(OR(F99="",H99&lt;&gt;"Car or van"),"",SUMIFS($F$6:F99,$H$6:H99,"Car or van"))</f>
        <v/>
      </c>
      <c r="J99" s="24" t="str">
        <f aca="false">IF(F99="","",IF(H99="Car or van",IF(O99=0,TEXT(INDEX('Notes and sources'!$C$6:$D$6,1,'Start here'!$C$11)*100,"0")&amp;"p",IF(N99=0,TEXT(INDEX('Notes and sources'!$C$7:$D$7,1,'Start here'!$C$11)*100,"0")&amp;"p",TEXT(INDEX('Notes and sources'!$C$6:$D$6,1,'Start here'!$C$11)*100,"0")&amp;"p/"&amp;TEXT(INDEX('Notes and sources'!$C$7:$D$7,1,'Start here'!$C$11)*100,"0")&amp;"p")),IF(H99="Motorcycle",TEXT(INDEX('Notes and sources'!$C$8:$D$8,1,'Start here'!$C$11)*100,"0")&amp;"p",IF(H99="Bicycle",TEXT(INDEX('Notes and sources'!$C$9:$D$9,1,'Start here'!$C$11)*100,"0")&amp;"p",""))))</f>
        <v/>
      </c>
      <c r="K99" s="26" t="str">
        <f aca="false">IF(F99="","",ROUND(IF(H99="Car or van",N99*INDEX('Notes and sources'!$C$6:$D$6,1,'Start here'!$C$11)+O99*INDEX('Notes and sources'!$C$7:$D$7,1,'Start here'!$C$11)+N(G99)*N(F99)*INDEX('Notes and sources'!$C$10:$D$10,1,'Start here'!$C$11),IF(H99="Motorcycle",N(F99)*INDEX('Notes and sources'!$C$8:$D$8,1,'Start here'!$C$11),IF(H99="Bicycle",N(F99)*INDEX('Notes and sources'!$C$9:$D$9,1,'Start here'!$C$11),0))),2))</f>
        <v/>
      </c>
      <c r="L99" s="27"/>
      <c r="N99" s="2" t="n">
        <f aca="false">IF(I99="",0,MAX(0,MIN(N(F99),INDEX('Notes and sources'!$C$12:$D$12,1,'Start here'!$C$11)-(I99-N(F99)))))</f>
        <v>0</v>
      </c>
      <c r="O99" s="2" t="n">
        <f aca="false">IF(I99="",0,N(F99)-N99)</f>
        <v>0</v>
      </c>
      <c r="P99" s="2" t="str">
        <f aca="false">IF(A99="","",IF(AND(MONTH(A99)=4,DAY(A99)&lt;6),13,MOD(MONTH(A99)-4,12)+1))</f>
        <v/>
      </c>
    </row>
    <row r="100" customFormat="false" ht="15" hidden="false" customHeight="false" outlineLevel="0" collapsed="false">
      <c r="A100" s="21"/>
      <c r="B100" s="6"/>
      <c r="C100" s="6"/>
      <c r="D100" s="6"/>
      <c r="E100" s="6"/>
      <c r="F100" s="22"/>
      <c r="G100" s="23"/>
      <c r="H100" s="24" t="str">
        <f aca="false">IF(B100="","",IFERROR(INDEX('Start here'!$C$16:$C$20,MATCH(B100,'Start here'!$B$16:$B$20,0)),"Check vehicle"))</f>
        <v/>
      </c>
      <c r="I100" s="25" t="str">
        <f aca="false">IF(OR(F100="",H100&lt;&gt;"Car or van"),"",SUMIFS($F$6:F100,$H$6:H100,"Car or van"))</f>
        <v/>
      </c>
      <c r="J100" s="24" t="str">
        <f aca="false">IF(F100="","",IF(H100="Car or van",IF(O100=0,TEXT(INDEX('Notes and sources'!$C$6:$D$6,1,'Start here'!$C$11)*100,"0")&amp;"p",IF(N100=0,TEXT(INDEX('Notes and sources'!$C$7:$D$7,1,'Start here'!$C$11)*100,"0")&amp;"p",TEXT(INDEX('Notes and sources'!$C$6:$D$6,1,'Start here'!$C$11)*100,"0")&amp;"p/"&amp;TEXT(INDEX('Notes and sources'!$C$7:$D$7,1,'Start here'!$C$11)*100,"0")&amp;"p")),IF(H100="Motorcycle",TEXT(INDEX('Notes and sources'!$C$8:$D$8,1,'Start here'!$C$11)*100,"0")&amp;"p",IF(H100="Bicycle",TEXT(INDEX('Notes and sources'!$C$9:$D$9,1,'Start here'!$C$11)*100,"0")&amp;"p",""))))</f>
        <v/>
      </c>
      <c r="K100" s="26" t="str">
        <f aca="false">IF(F100="","",ROUND(IF(H100="Car or van",N100*INDEX('Notes and sources'!$C$6:$D$6,1,'Start here'!$C$11)+O100*INDEX('Notes and sources'!$C$7:$D$7,1,'Start here'!$C$11)+N(G100)*N(F100)*INDEX('Notes and sources'!$C$10:$D$10,1,'Start here'!$C$11),IF(H100="Motorcycle",N(F100)*INDEX('Notes and sources'!$C$8:$D$8,1,'Start here'!$C$11),IF(H100="Bicycle",N(F100)*INDEX('Notes and sources'!$C$9:$D$9,1,'Start here'!$C$11),0))),2))</f>
        <v/>
      </c>
      <c r="L100" s="27"/>
      <c r="N100" s="2" t="n">
        <f aca="false">IF(I100="",0,MAX(0,MIN(N(F100),INDEX('Notes and sources'!$C$12:$D$12,1,'Start here'!$C$11)-(I100-N(F100)))))</f>
        <v>0</v>
      </c>
      <c r="O100" s="2" t="n">
        <f aca="false">IF(I100="",0,N(F100)-N100)</f>
        <v>0</v>
      </c>
      <c r="P100" s="2" t="str">
        <f aca="false">IF(A100="","",IF(AND(MONTH(A100)=4,DAY(A100)&lt;6),13,MOD(MONTH(A100)-4,12)+1))</f>
        <v/>
      </c>
    </row>
    <row r="101" customFormat="false" ht="15" hidden="false" customHeight="false" outlineLevel="0" collapsed="false">
      <c r="A101" s="21"/>
      <c r="B101" s="6"/>
      <c r="C101" s="6"/>
      <c r="D101" s="6"/>
      <c r="E101" s="6"/>
      <c r="F101" s="22"/>
      <c r="G101" s="23"/>
      <c r="H101" s="24" t="str">
        <f aca="false">IF(B101="","",IFERROR(INDEX('Start here'!$C$16:$C$20,MATCH(B101,'Start here'!$B$16:$B$20,0)),"Check vehicle"))</f>
        <v/>
      </c>
      <c r="I101" s="25" t="str">
        <f aca="false">IF(OR(F101="",H101&lt;&gt;"Car or van"),"",SUMIFS($F$6:F101,$H$6:H101,"Car or van"))</f>
        <v/>
      </c>
      <c r="J101" s="24" t="str">
        <f aca="false">IF(F101="","",IF(H101="Car or van",IF(O101=0,TEXT(INDEX('Notes and sources'!$C$6:$D$6,1,'Start here'!$C$11)*100,"0")&amp;"p",IF(N101=0,TEXT(INDEX('Notes and sources'!$C$7:$D$7,1,'Start here'!$C$11)*100,"0")&amp;"p",TEXT(INDEX('Notes and sources'!$C$6:$D$6,1,'Start here'!$C$11)*100,"0")&amp;"p/"&amp;TEXT(INDEX('Notes and sources'!$C$7:$D$7,1,'Start here'!$C$11)*100,"0")&amp;"p")),IF(H101="Motorcycle",TEXT(INDEX('Notes and sources'!$C$8:$D$8,1,'Start here'!$C$11)*100,"0")&amp;"p",IF(H101="Bicycle",TEXT(INDEX('Notes and sources'!$C$9:$D$9,1,'Start here'!$C$11)*100,"0")&amp;"p",""))))</f>
        <v/>
      </c>
      <c r="K101" s="26" t="str">
        <f aca="false">IF(F101="","",ROUND(IF(H101="Car or van",N101*INDEX('Notes and sources'!$C$6:$D$6,1,'Start here'!$C$11)+O101*INDEX('Notes and sources'!$C$7:$D$7,1,'Start here'!$C$11)+N(G101)*N(F101)*INDEX('Notes and sources'!$C$10:$D$10,1,'Start here'!$C$11),IF(H101="Motorcycle",N(F101)*INDEX('Notes and sources'!$C$8:$D$8,1,'Start here'!$C$11),IF(H101="Bicycle",N(F101)*INDEX('Notes and sources'!$C$9:$D$9,1,'Start here'!$C$11),0))),2))</f>
        <v/>
      </c>
      <c r="L101" s="27"/>
      <c r="N101" s="2" t="n">
        <f aca="false">IF(I101="",0,MAX(0,MIN(N(F101),INDEX('Notes and sources'!$C$12:$D$12,1,'Start here'!$C$11)-(I101-N(F101)))))</f>
        <v>0</v>
      </c>
      <c r="O101" s="2" t="n">
        <f aca="false">IF(I101="",0,N(F101)-N101)</f>
        <v>0</v>
      </c>
      <c r="P101" s="2" t="str">
        <f aca="false">IF(A101="","",IF(AND(MONTH(A101)=4,DAY(A101)&lt;6),13,MOD(MONTH(A101)-4,12)+1))</f>
        <v/>
      </c>
    </row>
    <row r="102" customFormat="false" ht="15" hidden="false" customHeight="false" outlineLevel="0" collapsed="false">
      <c r="A102" s="21"/>
      <c r="B102" s="6"/>
      <c r="C102" s="6"/>
      <c r="D102" s="6"/>
      <c r="E102" s="6"/>
      <c r="F102" s="22"/>
      <c r="G102" s="23"/>
      <c r="H102" s="24" t="str">
        <f aca="false">IF(B102="","",IFERROR(INDEX('Start here'!$C$16:$C$20,MATCH(B102,'Start here'!$B$16:$B$20,0)),"Check vehicle"))</f>
        <v/>
      </c>
      <c r="I102" s="25" t="str">
        <f aca="false">IF(OR(F102="",H102&lt;&gt;"Car or van"),"",SUMIFS($F$6:F102,$H$6:H102,"Car or van"))</f>
        <v/>
      </c>
      <c r="J102" s="24" t="str">
        <f aca="false">IF(F102="","",IF(H102="Car or van",IF(O102=0,TEXT(INDEX('Notes and sources'!$C$6:$D$6,1,'Start here'!$C$11)*100,"0")&amp;"p",IF(N102=0,TEXT(INDEX('Notes and sources'!$C$7:$D$7,1,'Start here'!$C$11)*100,"0")&amp;"p",TEXT(INDEX('Notes and sources'!$C$6:$D$6,1,'Start here'!$C$11)*100,"0")&amp;"p/"&amp;TEXT(INDEX('Notes and sources'!$C$7:$D$7,1,'Start here'!$C$11)*100,"0")&amp;"p")),IF(H102="Motorcycle",TEXT(INDEX('Notes and sources'!$C$8:$D$8,1,'Start here'!$C$11)*100,"0")&amp;"p",IF(H102="Bicycle",TEXT(INDEX('Notes and sources'!$C$9:$D$9,1,'Start here'!$C$11)*100,"0")&amp;"p",""))))</f>
        <v/>
      </c>
      <c r="K102" s="26" t="str">
        <f aca="false">IF(F102="","",ROUND(IF(H102="Car or van",N102*INDEX('Notes and sources'!$C$6:$D$6,1,'Start here'!$C$11)+O102*INDEX('Notes and sources'!$C$7:$D$7,1,'Start here'!$C$11)+N(G102)*N(F102)*INDEX('Notes and sources'!$C$10:$D$10,1,'Start here'!$C$11),IF(H102="Motorcycle",N(F102)*INDEX('Notes and sources'!$C$8:$D$8,1,'Start here'!$C$11),IF(H102="Bicycle",N(F102)*INDEX('Notes and sources'!$C$9:$D$9,1,'Start here'!$C$11),0))),2))</f>
        <v/>
      </c>
      <c r="L102" s="27"/>
      <c r="N102" s="2" t="n">
        <f aca="false">IF(I102="",0,MAX(0,MIN(N(F102),INDEX('Notes and sources'!$C$12:$D$12,1,'Start here'!$C$11)-(I102-N(F102)))))</f>
        <v>0</v>
      </c>
      <c r="O102" s="2" t="n">
        <f aca="false">IF(I102="",0,N(F102)-N102)</f>
        <v>0</v>
      </c>
      <c r="P102" s="2" t="str">
        <f aca="false">IF(A102="","",IF(AND(MONTH(A102)=4,DAY(A102)&lt;6),13,MOD(MONTH(A102)-4,12)+1))</f>
        <v/>
      </c>
    </row>
    <row r="103" customFormat="false" ht="15" hidden="false" customHeight="false" outlineLevel="0" collapsed="false">
      <c r="A103" s="21"/>
      <c r="B103" s="6"/>
      <c r="C103" s="6"/>
      <c r="D103" s="6"/>
      <c r="E103" s="6"/>
      <c r="F103" s="22"/>
      <c r="G103" s="23"/>
      <c r="H103" s="24" t="str">
        <f aca="false">IF(B103="","",IFERROR(INDEX('Start here'!$C$16:$C$20,MATCH(B103,'Start here'!$B$16:$B$20,0)),"Check vehicle"))</f>
        <v/>
      </c>
      <c r="I103" s="25" t="str">
        <f aca="false">IF(OR(F103="",H103&lt;&gt;"Car or van"),"",SUMIFS($F$6:F103,$H$6:H103,"Car or van"))</f>
        <v/>
      </c>
      <c r="J103" s="24" t="str">
        <f aca="false">IF(F103="","",IF(H103="Car or van",IF(O103=0,TEXT(INDEX('Notes and sources'!$C$6:$D$6,1,'Start here'!$C$11)*100,"0")&amp;"p",IF(N103=0,TEXT(INDEX('Notes and sources'!$C$7:$D$7,1,'Start here'!$C$11)*100,"0")&amp;"p",TEXT(INDEX('Notes and sources'!$C$6:$D$6,1,'Start here'!$C$11)*100,"0")&amp;"p/"&amp;TEXT(INDEX('Notes and sources'!$C$7:$D$7,1,'Start here'!$C$11)*100,"0")&amp;"p")),IF(H103="Motorcycle",TEXT(INDEX('Notes and sources'!$C$8:$D$8,1,'Start here'!$C$11)*100,"0")&amp;"p",IF(H103="Bicycle",TEXT(INDEX('Notes and sources'!$C$9:$D$9,1,'Start here'!$C$11)*100,"0")&amp;"p",""))))</f>
        <v/>
      </c>
      <c r="K103" s="26" t="str">
        <f aca="false">IF(F103="","",ROUND(IF(H103="Car or van",N103*INDEX('Notes and sources'!$C$6:$D$6,1,'Start here'!$C$11)+O103*INDEX('Notes and sources'!$C$7:$D$7,1,'Start here'!$C$11)+N(G103)*N(F103)*INDEX('Notes and sources'!$C$10:$D$10,1,'Start here'!$C$11),IF(H103="Motorcycle",N(F103)*INDEX('Notes and sources'!$C$8:$D$8,1,'Start here'!$C$11),IF(H103="Bicycle",N(F103)*INDEX('Notes and sources'!$C$9:$D$9,1,'Start here'!$C$11),0))),2))</f>
        <v/>
      </c>
      <c r="L103" s="27"/>
      <c r="N103" s="2" t="n">
        <f aca="false">IF(I103="",0,MAX(0,MIN(N(F103),INDEX('Notes and sources'!$C$12:$D$12,1,'Start here'!$C$11)-(I103-N(F103)))))</f>
        <v>0</v>
      </c>
      <c r="O103" s="2" t="n">
        <f aca="false">IF(I103="",0,N(F103)-N103)</f>
        <v>0</v>
      </c>
      <c r="P103" s="2" t="str">
        <f aca="false">IF(A103="","",IF(AND(MONTH(A103)=4,DAY(A103)&lt;6),13,MOD(MONTH(A103)-4,12)+1))</f>
        <v/>
      </c>
    </row>
    <row r="104" customFormat="false" ht="15" hidden="false" customHeight="false" outlineLevel="0" collapsed="false">
      <c r="A104" s="21"/>
      <c r="B104" s="6"/>
      <c r="C104" s="6"/>
      <c r="D104" s="6"/>
      <c r="E104" s="6"/>
      <c r="F104" s="22"/>
      <c r="G104" s="23"/>
      <c r="H104" s="24" t="str">
        <f aca="false">IF(B104="","",IFERROR(INDEX('Start here'!$C$16:$C$20,MATCH(B104,'Start here'!$B$16:$B$20,0)),"Check vehicle"))</f>
        <v/>
      </c>
      <c r="I104" s="25" t="str">
        <f aca="false">IF(OR(F104="",H104&lt;&gt;"Car or van"),"",SUMIFS($F$6:F104,$H$6:H104,"Car or van"))</f>
        <v/>
      </c>
      <c r="J104" s="24" t="str">
        <f aca="false">IF(F104="","",IF(H104="Car or van",IF(O104=0,TEXT(INDEX('Notes and sources'!$C$6:$D$6,1,'Start here'!$C$11)*100,"0")&amp;"p",IF(N104=0,TEXT(INDEX('Notes and sources'!$C$7:$D$7,1,'Start here'!$C$11)*100,"0")&amp;"p",TEXT(INDEX('Notes and sources'!$C$6:$D$6,1,'Start here'!$C$11)*100,"0")&amp;"p/"&amp;TEXT(INDEX('Notes and sources'!$C$7:$D$7,1,'Start here'!$C$11)*100,"0")&amp;"p")),IF(H104="Motorcycle",TEXT(INDEX('Notes and sources'!$C$8:$D$8,1,'Start here'!$C$11)*100,"0")&amp;"p",IF(H104="Bicycle",TEXT(INDEX('Notes and sources'!$C$9:$D$9,1,'Start here'!$C$11)*100,"0")&amp;"p",""))))</f>
        <v/>
      </c>
      <c r="K104" s="26" t="str">
        <f aca="false">IF(F104="","",ROUND(IF(H104="Car or van",N104*INDEX('Notes and sources'!$C$6:$D$6,1,'Start here'!$C$11)+O104*INDEX('Notes and sources'!$C$7:$D$7,1,'Start here'!$C$11)+N(G104)*N(F104)*INDEX('Notes and sources'!$C$10:$D$10,1,'Start here'!$C$11),IF(H104="Motorcycle",N(F104)*INDEX('Notes and sources'!$C$8:$D$8,1,'Start here'!$C$11),IF(H104="Bicycle",N(F104)*INDEX('Notes and sources'!$C$9:$D$9,1,'Start here'!$C$11),0))),2))</f>
        <v/>
      </c>
      <c r="L104" s="27"/>
      <c r="N104" s="2" t="n">
        <f aca="false">IF(I104="",0,MAX(0,MIN(N(F104),INDEX('Notes and sources'!$C$12:$D$12,1,'Start here'!$C$11)-(I104-N(F104)))))</f>
        <v>0</v>
      </c>
      <c r="O104" s="2" t="n">
        <f aca="false">IF(I104="",0,N(F104)-N104)</f>
        <v>0</v>
      </c>
      <c r="P104" s="2" t="str">
        <f aca="false">IF(A104="","",IF(AND(MONTH(A104)=4,DAY(A104)&lt;6),13,MOD(MONTH(A104)-4,12)+1))</f>
        <v/>
      </c>
    </row>
    <row r="105" customFormat="false" ht="15" hidden="false" customHeight="false" outlineLevel="0" collapsed="false">
      <c r="A105" s="21"/>
      <c r="B105" s="6"/>
      <c r="C105" s="6"/>
      <c r="D105" s="6"/>
      <c r="E105" s="6"/>
      <c r="F105" s="22"/>
      <c r="G105" s="23"/>
      <c r="H105" s="24" t="str">
        <f aca="false">IF(B105="","",IFERROR(INDEX('Start here'!$C$16:$C$20,MATCH(B105,'Start here'!$B$16:$B$20,0)),"Check vehicle"))</f>
        <v/>
      </c>
      <c r="I105" s="25" t="str">
        <f aca="false">IF(OR(F105="",H105&lt;&gt;"Car or van"),"",SUMIFS($F$6:F105,$H$6:H105,"Car or van"))</f>
        <v/>
      </c>
      <c r="J105" s="24" t="str">
        <f aca="false">IF(F105="","",IF(H105="Car or van",IF(O105=0,TEXT(INDEX('Notes and sources'!$C$6:$D$6,1,'Start here'!$C$11)*100,"0")&amp;"p",IF(N105=0,TEXT(INDEX('Notes and sources'!$C$7:$D$7,1,'Start here'!$C$11)*100,"0")&amp;"p",TEXT(INDEX('Notes and sources'!$C$6:$D$6,1,'Start here'!$C$11)*100,"0")&amp;"p/"&amp;TEXT(INDEX('Notes and sources'!$C$7:$D$7,1,'Start here'!$C$11)*100,"0")&amp;"p")),IF(H105="Motorcycle",TEXT(INDEX('Notes and sources'!$C$8:$D$8,1,'Start here'!$C$11)*100,"0")&amp;"p",IF(H105="Bicycle",TEXT(INDEX('Notes and sources'!$C$9:$D$9,1,'Start here'!$C$11)*100,"0")&amp;"p",""))))</f>
        <v/>
      </c>
      <c r="K105" s="26" t="str">
        <f aca="false">IF(F105="","",ROUND(IF(H105="Car or van",N105*INDEX('Notes and sources'!$C$6:$D$6,1,'Start here'!$C$11)+O105*INDEX('Notes and sources'!$C$7:$D$7,1,'Start here'!$C$11)+N(G105)*N(F105)*INDEX('Notes and sources'!$C$10:$D$10,1,'Start here'!$C$11),IF(H105="Motorcycle",N(F105)*INDEX('Notes and sources'!$C$8:$D$8,1,'Start here'!$C$11),IF(H105="Bicycle",N(F105)*INDEX('Notes and sources'!$C$9:$D$9,1,'Start here'!$C$11),0))),2))</f>
        <v/>
      </c>
      <c r="L105" s="27"/>
      <c r="N105" s="2" t="n">
        <f aca="false">IF(I105="",0,MAX(0,MIN(N(F105),INDEX('Notes and sources'!$C$12:$D$12,1,'Start here'!$C$11)-(I105-N(F105)))))</f>
        <v>0</v>
      </c>
      <c r="O105" s="2" t="n">
        <f aca="false">IF(I105="",0,N(F105)-N105)</f>
        <v>0</v>
      </c>
      <c r="P105" s="2" t="str">
        <f aca="false">IF(A105="","",IF(AND(MONTH(A105)=4,DAY(A105)&lt;6),13,MOD(MONTH(A105)-4,12)+1))</f>
        <v/>
      </c>
    </row>
    <row r="106" customFormat="false" ht="15" hidden="false" customHeight="false" outlineLevel="0" collapsed="false">
      <c r="A106" s="21"/>
      <c r="B106" s="6"/>
      <c r="C106" s="6"/>
      <c r="D106" s="6"/>
      <c r="E106" s="6"/>
      <c r="F106" s="22"/>
      <c r="G106" s="23"/>
      <c r="H106" s="24" t="str">
        <f aca="false">IF(B106="","",IFERROR(INDEX('Start here'!$C$16:$C$20,MATCH(B106,'Start here'!$B$16:$B$20,0)),"Check vehicle"))</f>
        <v/>
      </c>
      <c r="I106" s="25" t="str">
        <f aca="false">IF(OR(F106="",H106&lt;&gt;"Car or van"),"",SUMIFS($F$6:F106,$H$6:H106,"Car or van"))</f>
        <v/>
      </c>
      <c r="J106" s="24" t="str">
        <f aca="false">IF(F106="","",IF(H106="Car or van",IF(O106=0,TEXT(INDEX('Notes and sources'!$C$6:$D$6,1,'Start here'!$C$11)*100,"0")&amp;"p",IF(N106=0,TEXT(INDEX('Notes and sources'!$C$7:$D$7,1,'Start here'!$C$11)*100,"0")&amp;"p",TEXT(INDEX('Notes and sources'!$C$6:$D$6,1,'Start here'!$C$11)*100,"0")&amp;"p/"&amp;TEXT(INDEX('Notes and sources'!$C$7:$D$7,1,'Start here'!$C$11)*100,"0")&amp;"p")),IF(H106="Motorcycle",TEXT(INDEX('Notes and sources'!$C$8:$D$8,1,'Start here'!$C$11)*100,"0")&amp;"p",IF(H106="Bicycle",TEXT(INDEX('Notes and sources'!$C$9:$D$9,1,'Start here'!$C$11)*100,"0")&amp;"p",""))))</f>
        <v/>
      </c>
      <c r="K106" s="26" t="str">
        <f aca="false">IF(F106="","",ROUND(IF(H106="Car or van",N106*INDEX('Notes and sources'!$C$6:$D$6,1,'Start here'!$C$11)+O106*INDEX('Notes and sources'!$C$7:$D$7,1,'Start here'!$C$11)+N(G106)*N(F106)*INDEX('Notes and sources'!$C$10:$D$10,1,'Start here'!$C$11),IF(H106="Motorcycle",N(F106)*INDEX('Notes and sources'!$C$8:$D$8,1,'Start here'!$C$11),IF(H106="Bicycle",N(F106)*INDEX('Notes and sources'!$C$9:$D$9,1,'Start here'!$C$11),0))),2))</f>
        <v/>
      </c>
      <c r="L106" s="27"/>
      <c r="N106" s="2" t="n">
        <f aca="false">IF(I106="",0,MAX(0,MIN(N(F106),INDEX('Notes and sources'!$C$12:$D$12,1,'Start here'!$C$11)-(I106-N(F106)))))</f>
        <v>0</v>
      </c>
      <c r="O106" s="2" t="n">
        <f aca="false">IF(I106="",0,N(F106)-N106)</f>
        <v>0</v>
      </c>
      <c r="P106" s="2" t="str">
        <f aca="false">IF(A106="","",IF(AND(MONTH(A106)=4,DAY(A106)&lt;6),13,MOD(MONTH(A106)-4,12)+1))</f>
        <v/>
      </c>
    </row>
    <row r="107" customFormat="false" ht="15" hidden="false" customHeight="false" outlineLevel="0" collapsed="false">
      <c r="A107" s="21"/>
      <c r="B107" s="6"/>
      <c r="C107" s="6"/>
      <c r="D107" s="6"/>
      <c r="E107" s="6"/>
      <c r="F107" s="22"/>
      <c r="G107" s="23"/>
      <c r="H107" s="24" t="str">
        <f aca="false">IF(B107="","",IFERROR(INDEX('Start here'!$C$16:$C$20,MATCH(B107,'Start here'!$B$16:$B$20,0)),"Check vehicle"))</f>
        <v/>
      </c>
      <c r="I107" s="25" t="str">
        <f aca="false">IF(OR(F107="",H107&lt;&gt;"Car or van"),"",SUMIFS($F$6:F107,$H$6:H107,"Car or van"))</f>
        <v/>
      </c>
      <c r="J107" s="24" t="str">
        <f aca="false">IF(F107="","",IF(H107="Car or van",IF(O107=0,TEXT(INDEX('Notes and sources'!$C$6:$D$6,1,'Start here'!$C$11)*100,"0")&amp;"p",IF(N107=0,TEXT(INDEX('Notes and sources'!$C$7:$D$7,1,'Start here'!$C$11)*100,"0")&amp;"p",TEXT(INDEX('Notes and sources'!$C$6:$D$6,1,'Start here'!$C$11)*100,"0")&amp;"p/"&amp;TEXT(INDEX('Notes and sources'!$C$7:$D$7,1,'Start here'!$C$11)*100,"0")&amp;"p")),IF(H107="Motorcycle",TEXT(INDEX('Notes and sources'!$C$8:$D$8,1,'Start here'!$C$11)*100,"0")&amp;"p",IF(H107="Bicycle",TEXT(INDEX('Notes and sources'!$C$9:$D$9,1,'Start here'!$C$11)*100,"0")&amp;"p",""))))</f>
        <v/>
      </c>
      <c r="K107" s="26" t="str">
        <f aca="false">IF(F107="","",ROUND(IF(H107="Car or van",N107*INDEX('Notes and sources'!$C$6:$D$6,1,'Start here'!$C$11)+O107*INDEX('Notes and sources'!$C$7:$D$7,1,'Start here'!$C$11)+N(G107)*N(F107)*INDEX('Notes and sources'!$C$10:$D$10,1,'Start here'!$C$11),IF(H107="Motorcycle",N(F107)*INDEX('Notes and sources'!$C$8:$D$8,1,'Start here'!$C$11),IF(H107="Bicycle",N(F107)*INDEX('Notes and sources'!$C$9:$D$9,1,'Start here'!$C$11),0))),2))</f>
        <v/>
      </c>
      <c r="L107" s="27"/>
      <c r="N107" s="2" t="n">
        <f aca="false">IF(I107="",0,MAX(0,MIN(N(F107),INDEX('Notes and sources'!$C$12:$D$12,1,'Start here'!$C$11)-(I107-N(F107)))))</f>
        <v>0</v>
      </c>
      <c r="O107" s="2" t="n">
        <f aca="false">IF(I107="",0,N(F107)-N107)</f>
        <v>0</v>
      </c>
      <c r="P107" s="2" t="str">
        <f aca="false">IF(A107="","",IF(AND(MONTH(A107)=4,DAY(A107)&lt;6),13,MOD(MONTH(A107)-4,12)+1))</f>
        <v/>
      </c>
    </row>
    <row r="108" customFormat="false" ht="15" hidden="false" customHeight="false" outlineLevel="0" collapsed="false">
      <c r="A108" s="21"/>
      <c r="B108" s="6"/>
      <c r="C108" s="6"/>
      <c r="D108" s="6"/>
      <c r="E108" s="6"/>
      <c r="F108" s="22"/>
      <c r="G108" s="23"/>
      <c r="H108" s="24" t="str">
        <f aca="false">IF(B108="","",IFERROR(INDEX('Start here'!$C$16:$C$20,MATCH(B108,'Start here'!$B$16:$B$20,0)),"Check vehicle"))</f>
        <v/>
      </c>
      <c r="I108" s="25" t="str">
        <f aca="false">IF(OR(F108="",H108&lt;&gt;"Car or van"),"",SUMIFS($F$6:F108,$H$6:H108,"Car or van"))</f>
        <v/>
      </c>
      <c r="J108" s="24" t="str">
        <f aca="false">IF(F108="","",IF(H108="Car or van",IF(O108=0,TEXT(INDEX('Notes and sources'!$C$6:$D$6,1,'Start here'!$C$11)*100,"0")&amp;"p",IF(N108=0,TEXT(INDEX('Notes and sources'!$C$7:$D$7,1,'Start here'!$C$11)*100,"0")&amp;"p",TEXT(INDEX('Notes and sources'!$C$6:$D$6,1,'Start here'!$C$11)*100,"0")&amp;"p/"&amp;TEXT(INDEX('Notes and sources'!$C$7:$D$7,1,'Start here'!$C$11)*100,"0")&amp;"p")),IF(H108="Motorcycle",TEXT(INDEX('Notes and sources'!$C$8:$D$8,1,'Start here'!$C$11)*100,"0")&amp;"p",IF(H108="Bicycle",TEXT(INDEX('Notes and sources'!$C$9:$D$9,1,'Start here'!$C$11)*100,"0")&amp;"p",""))))</f>
        <v/>
      </c>
      <c r="K108" s="26" t="str">
        <f aca="false">IF(F108="","",ROUND(IF(H108="Car or van",N108*INDEX('Notes and sources'!$C$6:$D$6,1,'Start here'!$C$11)+O108*INDEX('Notes and sources'!$C$7:$D$7,1,'Start here'!$C$11)+N(G108)*N(F108)*INDEX('Notes and sources'!$C$10:$D$10,1,'Start here'!$C$11),IF(H108="Motorcycle",N(F108)*INDEX('Notes and sources'!$C$8:$D$8,1,'Start here'!$C$11),IF(H108="Bicycle",N(F108)*INDEX('Notes and sources'!$C$9:$D$9,1,'Start here'!$C$11),0))),2))</f>
        <v/>
      </c>
      <c r="L108" s="27"/>
      <c r="N108" s="2" t="n">
        <f aca="false">IF(I108="",0,MAX(0,MIN(N(F108),INDEX('Notes and sources'!$C$12:$D$12,1,'Start here'!$C$11)-(I108-N(F108)))))</f>
        <v>0</v>
      </c>
      <c r="O108" s="2" t="n">
        <f aca="false">IF(I108="",0,N(F108)-N108)</f>
        <v>0</v>
      </c>
      <c r="P108" s="2" t="str">
        <f aca="false">IF(A108="","",IF(AND(MONTH(A108)=4,DAY(A108)&lt;6),13,MOD(MONTH(A108)-4,12)+1))</f>
        <v/>
      </c>
    </row>
    <row r="109" customFormat="false" ht="15" hidden="false" customHeight="false" outlineLevel="0" collapsed="false">
      <c r="A109" s="21"/>
      <c r="B109" s="6"/>
      <c r="C109" s="6"/>
      <c r="D109" s="6"/>
      <c r="E109" s="6"/>
      <c r="F109" s="22"/>
      <c r="G109" s="23"/>
      <c r="H109" s="24" t="str">
        <f aca="false">IF(B109="","",IFERROR(INDEX('Start here'!$C$16:$C$20,MATCH(B109,'Start here'!$B$16:$B$20,0)),"Check vehicle"))</f>
        <v/>
      </c>
      <c r="I109" s="25" t="str">
        <f aca="false">IF(OR(F109="",H109&lt;&gt;"Car or van"),"",SUMIFS($F$6:F109,$H$6:H109,"Car or van"))</f>
        <v/>
      </c>
      <c r="J109" s="24" t="str">
        <f aca="false">IF(F109="","",IF(H109="Car or van",IF(O109=0,TEXT(INDEX('Notes and sources'!$C$6:$D$6,1,'Start here'!$C$11)*100,"0")&amp;"p",IF(N109=0,TEXT(INDEX('Notes and sources'!$C$7:$D$7,1,'Start here'!$C$11)*100,"0")&amp;"p",TEXT(INDEX('Notes and sources'!$C$6:$D$6,1,'Start here'!$C$11)*100,"0")&amp;"p/"&amp;TEXT(INDEX('Notes and sources'!$C$7:$D$7,1,'Start here'!$C$11)*100,"0")&amp;"p")),IF(H109="Motorcycle",TEXT(INDEX('Notes and sources'!$C$8:$D$8,1,'Start here'!$C$11)*100,"0")&amp;"p",IF(H109="Bicycle",TEXT(INDEX('Notes and sources'!$C$9:$D$9,1,'Start here'!$C$11)*100,"0")&amp;"p",""))))</f>
        <v/>
      </c>
      <c r="K109" s="26" t="str">
        <f aca="false">IF(F109="","",ROUND(IF(H109="Car or van",N109*INDEX('Notes and sources'!$C$6:$D$6,1,'Start here'!$C$11)+O109*INDEX('Notes and sources'!$C$7:$D$7,1,'Start here'!$C$11)+N(G109)*N(F109)*INDEX('Notes and sources'!$C$10:$D$10,1,'Start here'!$C$11),IF(H109="Motorcycle",N(F109)*INDEX('Notes and sources'!$C$8:$D$8,1,'Start here'!$C$11),IF(H109="Bicycle",N(F109)*INDEX('Notes and sources'!$C$9:$D$9,1,'Start here'!$C$11),0))),2))</f>
        <v/>
      </c>
      <c r="L109" s="27"/>
      <c r="N109" s="2" t="n">
        <f aca="false">IF(I109="",0,MAX(0,MIN(N(F109),INDEX('Notes and sources'!$C$12:$D$12,1,'Start here'!$C$11)-(I109-N(F109)))))</f>
        <v>0</v>
      </c>
      <c r="O109" s="2" t="n">
        <f aca="false">IF(I109="",0,N(F109)-N109)</f>
        <v>0</v>
      </c>
      <c r="P109" s="2" t="str">
        <f aca="false">IF(A109="","",IF(AND(MONTH(A109)=4,DAY(A109)&lt;6),13,MOD(MONTH(A109)-4,12)+1))</f>
        <v/>
      </c>
    </row>
    <row r="110" customFormat="false" ht="15" hidden="false" customHeight="false" outlineLevel="0" collapsed="false">
      <c r="A110" s="21"/>
      <c r="B110" s="6"/>
      <c r="C110" s="6"/>
      <c r="D110" s="6"/>
      <c r="E110" s="6"/>
      <c r="F110" s="22"/>
      <c r="G110" s="23"/>
      <c r="H110" s="24" t="str">
        <f aca="false">IF(B110="","",IFERROR(INDEX('Start here'!$C$16:$C$20,MATCH(B110,'Start here'!$B$16:$B$20,0)),"Check vehicle"))</f>
        <v/>
      </c>
      <c r="I110" s="25" t="str">
        <f aca="false">IF(OR(F110="",H110&lt;&gt;"Car or van"),"",SUMIFS($F$6:F110,$H$6:H110,"Car or van"))</f>
        <v/>
      </c>
      <c r="J110" s="24" t="str">
        <f aca="false">IF(F110="","",IF(H110="Car or van",IF(O110=0,TEXT(INDEX('Notes and sources'!$C$6:$D$6,1,'Start here'!$C$11)*100,"0")&amp;"p",IF(N110=0,TEXT(INDEX('Notes and sources'!$C$7:$D$7,1,'Start here'!$C$11)*100,"0")&amp;"p",TEXT(INDEX('Notes and sources'!$C$6:$D$6,1,'Start here'!$C$11)*100,"0")&amp;"p/"&amp;TEXT(INDEX('Notes and sources'!$C$7:$D$7,1,'Start here'!$C$11)*100,"0")&amp;"p")),IF(H110="Motorcycle",TEXT(INDEX('Notes and sources'!$C$8:$D$8,1,'Start here'!$C$11)*100,"0")&amp;"p",IF(H110="Bicycle",TEXT(INDEX('Notes and sources'!$C$9:$D$9,1,'Start here'!$C$11)*100,"0")&amp;"p",""))))</f>
        <v/>
      </c>
      <c r="K110" s="26" t="str">
        <f aca="false">IF(F110="","",ROUND(IF(H110="Car or van",N110*INDEX('Notes and sources'!$C$6:$D$6,1,'Start here'!$C$11)+O110*INDEX('Notes and sources'!$C$7:$D$7,1,'Start here'!$C$11)+N(G110)*N(F110)*INDEX('Notes and sources'!$C$10:$D$10,1,'Start here'!$C$11),IF(H110="Motorcycle",N(F110)*INDEX('Notes and sources'!$C$8:$D$8,1,'Start here'!$C$11),IF(H110="Bicycle",N(F110)*INDEX('Notes and sources'!$C$9:$D$9,1,'Start here'!$C$11),0))),2))</f>
        <v/>
      </c>
      <c r="L110" s="27"/>
      <c r="N110" s="2" t="n">
        <f aca="false">IF(I110="",0,MAX(0,MIN(N(F110),INDEX('Notes and sources'!$C$12:$D$12,1,'Start here'!$C$11)-(I110-N(F110)))))</f>
        <v>0</v>
      </c>
      <c r="O110" s="2" t="n">
        <f aca="false">IF(I110="",0,N(F110)-N110)</f>
        <v>0</v>
      </c>
      <c r="P110" s="2" t="str">
        <f aca="false">IF(A110="","",IF(AND(MONTH(A110)=4,DAY(A110)&lt;6),13,MOD(MONTH(A110)-4,12)+1))</f>
        <v/>
      </c>
    </row>
    <row r="111" customFormat="false" ht="15" hidden="false" customHeight="false" outlineLevel="0" collapsed="false">
      <c r="A111" s="21"/>
      <c r="B111" s="6"/>
      <c r="C111" s="6"/>
      <c r="D111" s="6"/>
      <c r="E111" s="6"/>
      <c r="F111" s="22"/>
      <c r="G111" s="23"/>
      <c r="H111" s="24" t="str">
        <f aca="false">IF(B111="","",IFERROR(INDEX('Start here'!$C$16:$C$20,MATCH(B111,'Start here'!$B$16:$B$20,0)),"Check vehicle"))</f>
        <v/>
      </c>
      <c r="I111" s="25" t="str">
        <f aca="false">IF(OR(F111="",H111&lt;&gt;"Car or van"),"",SUMIFS($F$6:F111,$H$6:H111,"Car or van"))</f>
        <v/>
      </c>
      <c r="J111" s="24" t="str">
        <f aca="false">IF(F111="","",IF(H111="Car or van",IF(O111=0,TEXT(INDEX('Notes and sources'!$C$6:$D$6,1,'Start here'!$C$11)*100,"0")&amp;"p",IF(N111=0,TEXT(INDEX('Notes and sources'!$C$7:$D$7,1,'Start here'!$C$11)*100,"0")&amp;"p",TEXT(INDEX('Notes and sources'!$C$6:$D$6,1,'Start here'!$C$11)*100,"0")&amp;"p/"&amp;TEXT(INDEX('Notes and sources'!$C$7:$D$7,1,'Start here'!$C$11)*100,"0")&amp;"p")),IF(H111="Motorcycle",TEXT(INDEX('Notes and sources'!$C$8:$D$8,1,'Start here'!$C$11)*100,"0")&amp;"p",IF(H111="Bicycle",TEXT(INDEX('Notes and sources'!$C$9:$D$9,1,'Start here'!$C$11)*100,"0")&amp;"p",""))))</f>
        <v/>
      </c>
      <c r="K111" s="26" t="str">
        <f aca="false">IF(F111="","",ROUND(IF(H111="Car or van",N111*INDEX('Notes and sources'!$C$6:$D$6,1,'Start here'!$C$11)+O111*INDEX('Notes and sources'!$C$7:$D$7,1,'Start here'!$C$11)+N(G111)*N(F111)*INDEX('Notes and sources'!$C$10:$D$10,1,'Start here'!$C$11),IF(H111="Motorcycle",N(F111)*INDEX('Notes and sources'!$C$8:$D$8,1,'Start here'!$C$11),IF(H111="Bicycle",N(F111)*INDEX('Notes and sources'!$C$9:$D$9,1,'Start here'!$C$11),0))),2))</f>
        <v/>
      </c>
      <c r="L111" s="27"/>
      <c r="N111" s="2" t="n">
        <f aca="false">IF(I111="",0,MAX(0,MIN(N(F111),INDEX('Notes and sources'!$C$12:$D$12,1,'Start here'!$C$11)-(I111-N(F111)))))</f>
        <v>0</v>
      </c>
      <c r="O111" s="2" t="n">
        <f aca="false">IF(I111="",0,N(F111)-N111)</f>
        <v>0</v>
      </c>
      <c r="P111" s="2" t="str">
        <f aca="false">IF(A111="","",IF(AND(MONTH(A111)=4,DAY(A111)&lt;6),13,MOD(MONTH(A111)-4,12)+1))</f>
        <v/>
      </c>
    </row>
    <row r="112" customFormat="false" ht="15" hidden="false" customHeight="false" outlineLevel="0" collapsed="false">
      <c r="A112" s="21"/>
      <c r="B112" s="6"/>
      <c r="C112" s="6"/>
      <c r="D112" s="6"/>
      <c r="E112" s="6"/>
      <c r="F112" s="22"/>
      <c r="G112" s="23"/>
      <c r="H112" s="24" t="str">
        <f aca="false">IF(B112="","",IFERROR(INDEX('Start here'!$C$16:$C$20,MATCH(B112,'Start here'!$B$16:$B$20,0)),"Check vehicle"))</f>
        <v/>
      </c>
      <c r="I112" s="25" t="str">
        <f aca="false">IF(OR(F112="",H112&lt;&gt;"Car or van"),"",SUMIFS($F$6:F112,$H$6:H112,"Car or van"))</f>
        <v/>
      </c>
      <c r="J112" s="24" t="str">
        <f aca="false">IF(F112="","",IF(H112="Car or van",IF(O112=0,TEXT(INDEX('Notes and sources'!$C$6:$D$6,1,'Start here'!$C$11)*100,"0")&amp;"p",IF(N112=0,TEXT(INDEX('Notes and sources'!$C$7:$D$7,1,'Start here'!$C$11)*100,"0")&amp;"p",TEXT(INDEX('Notes and sources'!$C$6:$D$6,1,'Start here'!$C$11)*100,"0")&amp;"p/"&amp;TEXT(INDEX('Notes and sources'!$C$7:$D$7,1,'Start here'!$C$11)*100,"0")&amp;"p")),IF(H112="Motorcycle",TEXT(INDEX('Notes and sources'!$C$8:$D$8,1,'Start here'!$C$11)*100,"0")&amp;"p",IF(H112="Bicycle",TEXT(INDEX('Notes and sources'!$C$9:$D$9,1,'Start here'!$C$11)*100,"0")&amp;"p",""))))</f>
        <v/>
      </c>
      <c r="K112" s="26" t="str">
        <f aca="false">IF(F112="","",ROUND(IF(H112="Car or van",N112*INDEX('Notes and sources'!$C$6:$D$6,1,'Start here'!$C$11)+O112*INDEX('Notes and sources'!$C$7:$D$7,1,'Start here'!$C$11)+N(G112)*N(F112)*INDEX('Notes and sources'!$C$10:$D$10,1,'Start here'!$C$11),IF(H112="Motorcycle",N(F112)*INDEX('Notes and sources'!$C$8:$D$8,1,'Start here'!$C$11),IF(H112="Bicycle",N(F112)*INDEX('Notes and sources'!$C$9:$D$9,1,'Start here'!$C$11),0))),2))</f>
        <v/>
      </c>
      <c r="L112" s="27"/>
      <c r="N112" s="2" t="n">
        <f aca="false">IF(I112="",0,MAX(0,MIN(N(F112),INDEX('Notes and sources'!$C$12:$D$12,1,'Start here'!$C$11)-(I112-N(F112)))))</f>
        <v>0</v>
      </c>
      <c r="O112" s="2" t="n">
        <f aca="false">IF(I112="",0,N(F112)-N112)</f>
        <v>0</v>
      </c>
      <c r="P112" s="2" t="str">
        <f aca="false">IF(A112="","",IF(AND(MONTH(A112)=4,DAY(A112)&lt;6),13,MOD(MONTH(A112)-4,12)+1))</f>
        <v/>
      </c>
    </row>
    <row r="113" customFormat="false" ht="15" hidden="false" customHeight="false" outlineLevel="0" collapsed="false">
      <c r="A113" s="21"/>
      <c r="B113" s="6"/>
      <c r="C113" s="6"/>
      <c r="D113" s="6"/>
      <c r="E113" s="6"/>
      <c r="F113" s="22"/>
      <c r="G113" s="23"/>
      <c r="H113" s="24" t="str">
        <f aca="false">IF(B113="","",IFERROR(INDEX('Start here'!$C$16:$C$20,MATCH(B113,'Start here'!$B$16:$B$20,0)),"Check vehicle"))</f>
        <v/>
      </c>
      <c r="I113" s="25" t="str">
        <f aca="false">IF(OR(F113="",H113&lt;&gt;"Car or van"),"",SUMIFS($F$6:F113,$H$6:H113,"Car or van"))</f>
        <v/>
      </c>
      <c r="J113" s="24" t="str">
        <f aca="false">IF(F113="","",IF(H113="Car or van",IF(O113=0,TEXT(INDEX('Notes and sources'!$C$6:$D$6,1,'Start here'!$C$11)*100,"0")&amp;"p",IF(N113=0,TEXT(INDEX('Notes and sources'!$C$7:$D$7,1,'Start here'!$C$11)*100,"0")&amp;"p",TEXT(INDEX('Notes and sources'!$C$6:$D$6,1,'Start here'!$C$11)*100,"0")&amp;"p/"&amp;TEXT(INDEX('Notes and sources'!$C$7:$D$7,1,'Start here'!$C$11)*100,"0")&amp;"p")),IF(H113="Motorcycle",TEXT(INDEX('Notes and sources'!$C$8:$D$8,1,'Start here'!$C$11)*100,"0")&amp;"p",IF(H113="Bicycle",TEXT(INDEX('Notes and sources'!$C$9:$D$9,1,'Start here'!$C$11)*100,"0")&amp;"p",""))))</f>
        <v/>
      </c>
      <c r="K113" s="26" t="str">
        <f aca="false">IF(F113="","",ROUND(IF(H113="Car or van",N113*INDEX('Notes and sources'!$C$6:$D$6,1,'Start here'!$C$11)+O113*INDEX('Notes and sources'!$C$7:$D$7,1,'Start here'!$C$11)+N(G113)*N(F113)*INDEX('Notes and sources'!$C$10:$D$10,1,'Start here'!$C$11),IF(H113="Motorcycle",N(F113)*INDEX('Notes and sources'!$C$8:$D$8,1,'Start here'!$C$11),IF(H113="Bicycle",N(F113)*INDEX('Notes and sources'!$C$9:$D$9,1,'Start here'!$C$11),0))),2))</f>
        <v/>
      </c>
      <c r="L113" s="27"/>
      <c r="N113" s="2" t="n">
        <f aca="false">IF(I113="",0,MAX(0,MIN(N(F113),INDEX('Notes and sources'!$C$12:$D$12,1,'Start here'!$C$11)-(I113-N(F113)))))</f>
        <v>0</v>
      </c>
      <c r="O113" s="2" t="n">
        <f aca="false">IF(I113="",0,N(F113)-N113)</f>
        <v>0</v>
      </c>
      <c r="P113" s="2" t="str">
        <f aca="false">IF(A113="","",IF(AND(MONTH(A113)=4,DAY(A113)&lt;6),13,MOD(MONTH(A113)-4,12)+1))</f>
        <v/>
      </c>
    </row>
    <row r="114" customFormat="false" ht="15" hidden="false" customHeight="false" outlineLevel="0" collapsed="false">
      <c r="A114" s="21"/>
      <c r="B114" s="6"/>
      <c r="C114" s="6"/>
      <c r="D114" s="6"/>
      <c r="E114" s="6"/>
      <c r="F114" s="22"/>
      <c r="G114" s="23"/>
      <c r="H114" s="24" t="str">
        <f aca="false">IF(B114="","",IFERROR(INDEX('Start here'!$C$16:$C$20,MATCH(B114,'Start here'!$B$16:$B$20,0)),"Check vehicle"))</f>
        <v/>
      </c>
      <c r="I114" s="25" t="str">
        <f aca="false">IF(OR(F114="",H114&lt;&gt;"Car or van"),"",SUMIFS($F$6:F114,$H$6:H114,"Car or van"))</f>
        <v/>
      </c>
      <c r="J114" s="24" t="str">
        <f aca="false">IF(F114="","",IF(H114="Car or van",IF(O114=0,TEXT(INDEX('Notes and sources'!$C$6:$D$6,1,'Start here'!$C$11)*100,"0")&amp;"p",IF(N114=0,TEXT(INDEX('Notes and sources'!$C$7:$D$7,1,'Start here'!$C$11)*100,"0")&amp;"p",TEXT(INDEX('Notes and sources'!$C$6:$D$6,1,'Start here'!$C$11)*100,"0")&amp;"p/"&amp;TEXT(INDEX('Notes and sources'!$C$7:$D$7,1,'Start here'!$C$11)*100,"0")&amp;"p")),IF(H114="Motorcycle",TEXT(INDEX('Notes and sources'!$C$8:$D$8,1,'Start here'!$C$11)*100,"0")&amp;"p",IF(H114="Bicycle",TEXT(INDEX('Notes and sources'!$C$9:$D$9,1,'Start here'!$C$11)*100,"0")&amp;"p",""))))</f>
        <v/>
      </c>
      <c r="K114" s="26" t="str">
        <f aca="false">IF(F114="","",ROUND(IF(H114="Car or van",N114*INDEX('Notes and sources'!$C$6:$D$6,1,'Start here'!$C$11)+O114*INDEX('Notes and sources'!$C$7:$D$7,1,'Start here'!$C$11)+N(G114)*N(F114)*INDEX('Notes and sources'!$C$10:$D$10,1,'Start here'!$C$11),IF(H114="Motorcycle",N(F114)*INDEX('Notes and sources'!$C$8:$D$8,1,'Start here'!$C$11),IF(H114="Bicycle",N(F114)*INDEX('Notes and sources'!$C$9:$D$9,1,'Start here'!$C$11),0))),2))</f>
        <v/>
      </c>
      <c r="L114" s="27"/>
      <c r="N114" s="2" t="n">
        <f aca="false">IF(I114="",0,MAX(0,MIN(N(F114),INDEX('Notes and sources'!$C$12:$D$12,1,'Start here'!$C$11)-(I114-N(F114)))))</f>
        <v>0</v>
      </c>
      <c r="O114" s="2" t="n">
        <f aca="false">IF(I114="",0,N(F114)-N114)</f>
        <v>0</v>
      </c>
      <c r="P114" s="2" t="str">
        <f aca="false">IF(A114="","",IF(AND(MONTH(A114)=4,DAY(A114)&lt;6),13,MOD(MONTH(A114)-4,12)+1))</f>
        <v/>
      </c>
    </row>
    <row r="115" customFormat="false" ht="15" hidden="false" customHeight="false" outlineLevel="0" collapsed="false">
      <c r="A115" s="21"/>
      <c r="B115" s="6"/>
      <c r="C115" s="6"/>
      <c r="D115" s="6"/>
      <c r="E115" s="6"/>
      <c r="F115" s="22"/>
      <c r="G115" s="23"/>
      <c r="H115" s="24" t="str">
        <f aca="false">IF(B115="","",IFERROR(INDEX('Start here'!$C$16:$C$20,MATCH(B115,'Start here'!$B$16:$B$20,0)),"Check vehicle"))</f>
        <v/>
      </c>
      <c r="I115" s="25" t="str">
        <f aca="false">IF(OR(F115="",H115&lt;&gt;"Car or van"),"",SUMIFS($F$6:F115,$H$6:H115,"Car or van"))</f>
        <v/>
      </c>
      <c r="J115" s="24" t="str">
        <f aca="false">IF(F115="","",IF(H115="Car or van",IF(O115=0,TEXT(INDEX('Notes and sources'!$C$6:$D$6,1,'Start here'!$C$11)*100,"0")&amp;"p",IF(N115=0,TEXT(INDEX('Notes and sources'!$C$7:$D$7,1,'Start here'!$C$11)*100,"0")&amp;"p",TEXT(INDEX('Notes and sources'!$C$6:$D$6,1,'Start here'!$C$11)*100,"0")&amp;"p/"&amp;TEXT(INDEX('Notes and sources'!$C$7:$D$7,1,'Start here'!$C$11)*100,"0")&amp;"p")),IF(H115="Motorcycle",TEXT(INDEX('Notes and sources'!$C$8:$D$8,1,'Start here'!$C$11)*100,"0")&amp;"p",IF(H115="Bicycle",TEXT(INDEX('Notes and sources'!$C$9:$D$9,1,'Start here'!$C$11)*100,"0")&amp;"p",""))))</f>
        <v/>
      </c>
      <c r="K115" s="26" t="str">
        <f aca="false">IF(F115="","",ROUND(IF(H115="Car or van",N115*INDEX('Notes and sources'!$C$6:$D$6,1,'Start here'!$C$11)+O115*INDEX('Notes and sources'!$C$7:$D$7,1,'Start here'!$C$11)+N(G115)*N(F115)*INDEX('Notes and sources'!$C$10:$D$10,1,'Start here'!$C$11),IF(H115="Motorcycle",N(F115)*INDEX('Notes and sources'!$C$8:$D$8,1,'Start here'!$C$11),IF(H115="Bicycle",N(F115)*INDEX('Notes and sources'!$C$9:$D$9,1,'Start here'!$C$11),0))),2))</f>
        <v/>
      </c>
      <c r="L115" s="27"/>
      <c r="N115" s="2" t="n">
        <f aca="false">IF(I115="",0,MAX(0,MIN(N(F115),INDEX('Notes and sources'!$C$12:$D$12,1,'Start here'!$C$11)-(I115-N(F115)))))</f>
        <v>0</v>
      </c>
      <c r="O115" s="2" t="n">
        <f aca="false">IF(I115="",0,N(F115)-N115)</f>
        <v>0</v>
      </c>
      <c r="P115" s="2" t="str">
        <f aca="false">IF(A115="","",IF(AND(MONTH(A115)=4,DAY(A115)&lt;6),13,MOD(MONTH(A115)-4,12)+1))</f>
        <v/>
      </c>
    </row>
    <row r="116" customFormat="false" ht="15" hidden="false" customHeight="false" outlineLevel="0" collapsed="false">
      <c r="A116" s="21"/>
      <c r="B116" s="6"/>
      <c r="C116" s="6"/>
      <c r="D116" s="6"/>
      <c r="E116" s="6"/>
      <c r="F116" s="22"/>
      <c r="G116" s="23"/>
      <c r="H116" s="24" t="str">
        <f aca="false">IF(B116="","",IFERROR(INDEX('Start here'!$C$16:$C$20,MATCH(B116,'Start here'!$B$16:$B$20,0)),"Check vehicle"))</f>
        <v/>
      </c>
      <c r="I116" s="25" t="str">
        <f aca="false">IF(OR(F116="",H116&lt;&gt;"Car or van"),"",SUMIFS($F$6:F116,$H$6:H116,"Car or van"))</f>
        <v/>
      </c>
      <c r="J116" s="24" t="str">
        <f aca="false">IF(F116="","",IF(H116="Car or van",IF(O116=0,TEXT(INDEX('Notes and sources'!$C$6:$D$6,1,'Start here'!$C$11)*100,"0")&amp;"p",IF(N116=0,TEXT(INDEX('Notes and sources'!$C$7:$D$7,1,'Start here'!$C$11)*100,"0")&amp;"p",TEXT(INDEX('Notes and sources'!$C$6:$D$6,1,'Start here'!$C$11)*100,"0")&amp;"p/"&amp;TEXT(INDEX('Notes and sources'!$C$7:$D$7,1,'Start here'!$C$11)*100,"0")&amp;"p")),IF(H116="Motorcycle",TEXT(INDEX('Notes and sources'!$C$8:$D$8,1,'Start here'!$C$11)*100,"0")&amp;"p",IF(H116="Bicycle",TEXT(INDEX('Notes and sources'!$C$9:$D$9,1,'Start here'!$C$11)*100,"0")&amp;"p",""))))</f>
        <v/>
      </c>
      <c r="K116" s="26" t="str">
        <f aca="false">IF(F116="","",ROUND(IF(H116="Car or van",N116*INDEX('Notes and sources'!$C$6:$D$6,1,'Start here'!$C$11)+O116*INDEX('Notes and sources'!$C$7:$D$7,1,'Start here'!$C$11)+N(G116)*N(F116)*INDEX('Notes and sources'!$C$10:$D$10,1,'Start here'!$C$11),IF(H116="Motorcycle",N(F116)*INDEX('Notes and sources'!$C$8:$D$8,1,'Start here'!$C$11),IF(H116="Bicycle",N(F116)*INDEX('Notes and sources'!$C$9:$D$9,1,'Start here'!$C$11),0))),2))</f>
        <v/>
      </c>
      <c r="L116" s="27"/>
      <c r="N116" s="2" t="n">
        <f aca="false">IF(I116="",0,MAX(0,MIN(N(F116),INDEX('Notes and sources'!$C$12:$D$12,1,'Start here'!$C$11)-(I116-N(F116)))))</f>
        <v>0</v>
      </c>
      <c r="O116" s="2" t="n">
        <f aca="false">IF(I116="",0,N(F116)-N116)</f>
        <v>0</v>
      </c>
      <c r="P116" s="2" t="str">
        <f aca="false">IF(A116="","",IF(AND(MONTH(A116)=4,DAY(A116)&lt;6),13,MOD(MONTH(A116)-4,12)+1))</f>
        <v/>
      </c>
    </row>
    <row r="117" customFormat="false" ht="15" hidden="false" customHeight="false" outlineLevel="0" collapsed="false">
      <c r="A117" s="21"/>
      <c r="B117" s="6"/>
      <c r="C117" s="6"/>
      <c r="D117" s="6"/>
      <c r="E117" s="6"/>
      <c r="F117" s="22"/>
      <c r="G117" s="23"/>
      <c r="H117" s="24" t="str">
        <f aca="false">IF(B117="","",IFERROR(INDEX('Start here'!$C$16:$C$20,MATCH(B117,'Start here'!$B$16:$B$20,0)),"Check vehicle"))</f>
        <v/>
      </c>
      <c r="I117" s="25" t="str">
        <f aca="false">IF(OR(F117="",H117&lt;&gt;"Car or van"),"",SUMIFS($F$6:F117,$H$6:H117,"Car or van"))</f>
        <v/>
      </c>
      <c r="J117" s="24" t="str">
        <f aca="false">IF(F117="","",IF(H117="Car or van",IF(O117=0,TEXT(INDEX('Notes and sources'!$C$6:$D$6,1,'Start here'!$C$11)*100,"0")&amp;"p",IF(N117=0,TEXT(INDEX('Notes and sources'!$C$7:$D$7,1,'Start here'!$C$11)*100,"0")&amp;"p",TEXT(INDEX('Notes and sources'!$C$6:$D$6,1,'Start here'!$C$11)*100,"0")&amp;"p/"&amp;TEXT(INDEX('Notes and sources'!$C$7:$D$7,1,'Start here'!$C$11)*100,"0")&amp;"p")),IF(H117="Motorcycle",TEXT(INDEX('Notes and sources'!$C$8:$D$8,1,'Start here'!$C$11)*100,"0")&amp;"p",IF(H117="Bicycle",TEXT(INDEX('Notes and sources'!$C$9:$D$9,1,'Start here'!$C$11)*100,"0")&amp;"p",""))))</f>
        <v/>
      </c>
      <c r="K117" s="26" t="str">
        <f aca="false">IF(F117="","",ROUND(IF(H117="Car or van",N117*INDEX('Notes and sources'!$C$6:$D$6,1,'Start here'!$C$11)+O117*INDEX('Notes and sources'!$C$7:$D$7,1,'Start here'!$C$11)+N(G117)*N(F117)*INDEX('Notes and sources'!$C$10:$D$10,1,'Start here'!$C$11),IF(H117="Motorcycle",N(F117)*INDEX('Notes and sources'!$C$8:$D$8,1,'Start here'!$C$11),IF(H117="Bicycle",N(F117)*INDEX('Notes and sources'!$C$9:$D$9,1,'Start here'!$C$11),0))),2))</f>
        <v/>
      </c>
      <c r="L117" s="27"/>
      <c r="N117" s="2" t="n">
        <f aca="false">IF(I117="",0,MAX(0,MIN(N(F117),INDEX('Notes and sources'!$C$12:$D$12,1,'Start here'!$C$11)-(I117-N(F117)))))</f>
        <v>0</v>
      </c>
      <c r="O117" s="2" t="n">
        <f aca="false">IF(I117="",0,N(F117)-N117)</f>
        <v>0</v>
      </c>
      <c r="P117" s="2" t="str">
        <f aca="false">IF(A117="","",IF(AND(MONTH(A117)=4,DAY(A117)&lt;6),13,MOD(MONTH(A117)-4,12)+1))</f>
        <v/>
      </c>
    </row>
    <row r="118" customFormat="false" ht="15" hidden="false" customHeight="false" outlineLevel="0" collapsed="false">
      <c r="A118" s="21"/>
      <c r="B118" s="6"/>
      <c r="C118" s="6"/>
      <c r="D118" s="6"/>
      <c r="E118" s="6"/>
      <c r="F118" s="22"/>
      <c r="G118" s="23"/>
      <c r="H118" s="24" t="str">
        <f aca="false">IF(B118="","",IFERROR(INDEX('Start here'!$C$16:$C$20,MATCH(B118,'Start here'!$B$16:$B$20,0)),"Check vehicle"))</f>
        <v/>
      </c>
      <c r="I118" s="25" t="str">
        <f aca="false">IF(OR(F118="",H118&lt;&gt;"Car or van"),"",SUMIFS($F$6:F118,$H$6:H118,"Car or van"))</f>
        <v/>
      </c>
      <c r="J118" s="24" t="str">
        <f aca="false">IF(F118="","",IF(H118="Car or van",IF(O118=0,TEXT(INDEX('Notes and sources'!$C$6:$D$6,1,'Start here'!$C$11)*100,"0")&amp;"p",IF(N118=0,TEXT(INDEX('Notes and sources'!$C$7:$D$7,1,'Start here'!$C$11)*100,"0")&amp;"p",TEXT(INDEX('Notes and sources'!$C$6:$D$6,1,'Start here'!$C$11)*100,"0")&amp;"p/"&amp;TEXT(INDEX('Notes and sources'!$C$7:$D$7,1,'Start here'!$C$11)*100,"0")&amp;"p")),IF(H118="Motorcycle",TEXT(INDEX('Notes and sources'!$C$8:$D$8,1,'Start here'!$C$11)*100,"0")&amp;"p",IF(H118="Bicycle",TEXT(INDEX('Notes and sources'!$C$9:$D$9,1,'Start here'!$C$11)*100,"0")&amp;"p",""))))</f>
        <v/>
      </c>
      <c r="K118" s="26" t="str">
        <f aca="false">IF(F118="","",ROUND(IF(H118="Car or van",N118*INDEX('Notes and sources'!$C$6:$D$6,1,'Start here'!$C$11)+O118*INDEX('Notes and sources'!$C$7:$D$7,1,'Start here'!$C$11)+N(G118)*N(F118)*INDEX('Notes and sources'!$C$10:$D$10,1,'Start here'!$C$11),IF(H118="Motorcycle",N(F118)*INDEX('Notes and sources'!$C$8:$D$8,1,'Start here'!$C$11),IF(H118="Bicycle",N(F118)*INDEX('Notes and sources'!$C$9:$D$9,1,'Start here'!$C$11),0))),2))</f>
        <v/>
      </c>
      <c r="L118" s="27"/>
      <c r="N118" s="2" t="n">
        <f aca="false">IF(I118="",0,MAX(0,MIN(N(F118),INDEX('Notes and sources'!$C$12:$D$12,1,'Start here'!$C$11)-(I118-N(F118)))))</f>
        <v>0</v>
      </c>
      <c r="O118" s="2" t="n">
        <f aca="false">IF(I118="",0,N(F118)-N118)</f>
        <v>0</v>
      </c>
      <c r="P118" s="2" t="str">
        <f aca="false">IF(A118="","",IF(AND(MONTH(A118)=4,DAY(A118)&lt;6),13,MOD(MONTH(A118)-4,12)+1))</f>
        <v/>
      </c>
    </row>
    <row r="119" customFormat="false" ht="15" hidden="false" customHeight="false" outlineLevel="0" collapsed="false">
      <c r="A119" s="21"/>
      <c r="B119" s="6"/>
      <c r="C119" s="6"/>
      <c r="D119" s="6"/>
      <c r="E119" s="6"/>
      <c r="F119" s="22"/>
      <c r="G119" s="23"/>
      <c r="H119" s="24" t="str">
        <f aca="false">IF(B119="","",IFERROR(INDEX('Start here'!$C$16:$C$20,MATCH(B119,'Start here'!$B$16:$B$20,0)),"Check vehicle"))</f>
        <v/>
      </c>
      <c r="I119" s="25" t="str">
        <f aca="false">IF(OR(F119="",H119&lt;&gt;"Car or van"),"",SUMIFS($F$6:F119,$H$6:H119,"Car or van"))</f>
        <v/>
      </c>
      <c r="J119" s="24" t="str">
        <f aca="false">IF(F119="","",IF(H119="Car or van",IF(O119=0,TEXT(INDEX('Notes and sources'!$C$6:$D$6,1,'Start here'!$C$11)*100,"0")&amp;"p",IF(N119=0,TEXT(INDEX('Notes and sources'!$C$7:$D$7,1,'Start here'!$C$11)*100,"0")&amp;"p",TEXT(INDEX('Notes and sources'!$C$6:$D$6,1,'Start here'!$C$11)*100,"0")&amp;"p/"&amp;TEXT(INDEX('Notes and sources'!$C$7:$D$7,1,'Start here'!$C$11)*100,"0")&amp;"p")),IF(H119="Motorcycle",TEXT(INDEX('Notes and sources'!$C$8:$D$8,1,'Start here'!$C$11)*100,"0")&amp;"p",IF(H119="Bicycle",TEXT(INDEX('Notes and sources'!$C$9:$D$9,1,'Start here'!$C$11)*100,"0")&amp;"p",""))))</f>
        <v/>
      </c>
      <c r="K119" s="26" t="str">
        <f aca="false">IF(F119="","",ROUND(IF(H119="Car or van",N119*INDEX('Notes and sources'!$C$6:$D$6,1,'Start here'!$C$11)+O119*INDEX('Notes and sources'!$C$7:$D$7,1,'Start here'!$C$11)+N(G119)*N(F119)*INDEX('Notes and sources'!$C$10:$D$10,1,'Start here'!$C$11),IF(H119="Motorcycle",N(F119)*INDEX('Notes and sources'!$C$8:$D$8,1,'Start here'!$C$11),IF(H119="Bicycle",N(F119)*INDEX('Notes and sources'!$C$9:$D$9,1,'Start here'!$C$11),0))),2))</f>
        <v/>
      </c>
      <c r="L119" s="27"/>
      <c r="N119" s="2" t="n">
        <f aca="false">IF(I119="",0,MAX(0,MIN(N(F119),INDEX('Notes and sources'!$C$12:$D$12,1,'Start here'!$C$11)-(I119-N(F119)))))</f>
        <v>0</v>
      </c>
      <c r="O119" s="2" t="n">
        <f aca="false">IF(I119="",0,N(F119)-N119)</f>
        <v>0</v>
      </c>
      <c r="P119" s="2" t="str">
        <f aca="false">IF(A119="","",IF(AND(MONTH(A119)=4,DAY(A119)&lt;6),13,MOD(MONTH(A119)-4,12)+1))</f>
        <v/>
      </c>
    </row>
    <row r="120" customFormat="false" ht="15" hidden="false" customHeight="false" outlineLevel="0" collapsed="false">
      <c r="A120" s="21"/>
      <c r="B120" s="6"/>
      <c r="C120" s="6"/>
      <c r="D120" s="6"/>
      <c r="E120" s="6"/>
      <c r="F120" s="22"/>
      <c r="G120" s="23"/>
      <c r="H120" s="24" t="str">
        <f aca="false">IF(B120="","",IFERROR(INDEX('Start here'!$C$16:$C$20,MATCH(B120,'Start here'!$B$16:$B$20,0)),"Check vehicle"))</f>
        <v/>
      </c>
      <c r="I120" s="25" t="str">
        <f aca="false">IF(OR(F120="",H120&lt;&gt;"Car or van"),"",SUMIFS($F$6:F120,$H$6:H120,"Car or van"))</f>
        <v/>
      </c>
      <c r="J120" s="24" t="str">
        <f aca="false">IF(F120="","",IF(H120="Car or van",IF(O120=0,TEXT(INDEX('Notes and sources'!$C$6:$D$6,1,'Start here'!$C$11)*100,"0")&amp;"p",IF(N120=0,TEXT(INDEX('Notes and sources'!$C$7:$D$7,1,'Start here'!$C$11)*100,"0")&amp;"p",TEXT(INDEX('Notes and sources'!$C$6:$D$6,1,'Start here'!$C$11)*100,"0")&amp;"p/"&amp;TEXT(INDEX('Notes and sources'!$C$7:$D$7,1,'Start here'!$C$11)*100,"0")&amp;"p")),IF(H120="Motorcycle",TEXT(INDEX('Notes and sources'!$C$8:$D$8,1,'Start here'!$C$11)*100,"0")&amp;"p",IF(H120="Bicycle",TEXT(INDEX('Notes and sources'!$C$9:$D$9,1,'Start here'!$C$11)*100,"0")&amp;"p",""))))</f>
        <v/>
      </c>
      <c r="K120" s="26" t="str">
        <f aca="false">IF(F120="","",ROUND(IF(H120="Car or van",N120*INDEX('Notes and sources'!$C$6:$D$6,1,'Start here'!$C$11)+O120*INDEX('Notes and sources'!$C$7:$D$7,1,'Start here'!$C$11)+N(G120)*N(F120)*INDEX('Notes and sources'!$C$10:$D$10,1,'Start here'!$C$11),IF(H120="Motorcycle",N(F120)*INDEX('Notes and sources'!$C$8:$D$8,1,'Start here'!$C$11),IF(H120="Bicycle",N(F120)*INDEX('Notes and sources'!$C$9:$D$9,1,'Start here'!$C$11),0))),2))</f>
        <v/>
      </c>
      <c r="L120" s="27"/>
      <c r="N120" s="2" t="n">
        <f aca="false">IF(I120="",0,MAX(0,MIN(N(F120),INDEX('Notes and sources'!$C$12:$D$12,1,'Start here'!$C$11)-(I120-N(F120)))))</f>
        <v>0</v>
      </c>
      <c r="O120" s="2" t="n">
        <f aca="false">IF(I120="",0,N(F120)-N120)</f>
        <v>0</v>
      </c>
      <c r="P120" s="2" t="str">
        <f aca="false">IF(A120="","",IF(AND(MONTH(A120)=4,DAY(A120)&lt;6),13,MOD(MONTH(A120)-4,12)+1))</f>
        <v/>
      </c>
    </row>
    <row r="121" customFormat="false" ht="15" hidden="false" customHeight="false" outlineLevel="0" collapsed="false">
      <c r="A121" s="21"/>
      <c r="B121" s="6"/>
      <c r="C121" s="6"/>
      <c r="D121" s="6"/>
      <c r="E121" s="6"/>
      <c r="F121" s="22"/>
      <c r="G121" s="23"/>
      <c r="H121" s="24" t="str">
        <f aca="false">IF(B121="","",IFERROR(INDEX('Start here'!$C$16:$C$20,MATCH(B121,'Start here'!$B$16:$B$20,0)),"Check vehicle"))</f>
        <v/>
      </c>
      <c r="I121" s="25" t="str">
        <f aca="false">IF(OR(F121="",H121&lt;&gt;"Car or van"),"",SUMIFS($F$6:F121,$H$6:H121,"Car or van"))</f>
        <v/>
      </c>
      <c r="J121" s="24" t="str">
        <f aca="false">IF(F121="","",IF(H121="Car or van",IF(O121=0,TEXT(INDEX('Notes and sources'!$C$6:$D$6,1,'Start here'!$C$11)*100,"0")&amp;"p",IF(N121=0,TEXT(INDEX('Notes and sources'!$C$7:$D$7,1,'Start here'!$C$11)*100,"0")&amp;"p",TEXT(INDEX('Notes and sources'!$C$6:$D$6,1,'Start here'!$C$11)*100,"0")&amp;"p/"&amp;TEXT(INDEX('Notes and sources'!$C$7:$D$7,1,'Start here'!$C$11)*100,"0")&amp;"p")),IF(H121="Motorcycle",TEXT(INDEX('Notes and sources'!$C$8:$D$8,1,'Start here'!$C$11)*100,"0")&amp;"p",IF(H121="Bicycle",TEXT(INDEX('Notes and sources'!$C$9:$D$9,1,'Start here'!$C$11)*100,"0")&amp;"p",""))))</f>
        <v/>
      </c>
      <c r="K121" s="26" t="str">
        <f aca="false">IF(F121="","",ROUND(IF(H121="Car or van",N121*INDEX('Notes and sources'!$C$6:$D$6,1,'Start here'!$C$11)+O121*INDEX('Notes and sources'!$C$7:$D$7,1,'Start here'!$C$11)+N(G121)*N(F121)*INDEX('Notes and sources'!$C$10:$D$10,1,'Start here'!$C$11),IF(H121="Motorcycle",N(F121)*INDEX('Notes and sources'!$C$8:$D$8,1,'Start here'!$C$11),IF(H121="Bicycle",N(F121)*INDEX('Notes and sources'!$C$9:$D$9,1,'Start here'!$C$11),0))),2))</f>
        <v/>
      </c>
      <c r="L121" s="27"/>
      <c r="N121" s="2" t="n">
        <f aca="false">IF(I121="",0,MAX(0,MIN(N(F121),INDEX('Notes and sources'!$C$12:$D$12,1,'Start here'!$C$11)-(I121-N(F121)))))</f>
        <v>0</v>
      </c>
      <c r="O121" s="2" t="n">
        <f aca="false">IF(I121="",0,N(F121)-N121)</f>
        <v>0</v>
      </c>
      <c r="P121" s="2" t="str">
        <f aca="false">IF(A121="","",IF(AND(MONTH(A121)=4,DAY(A121)&lt;6),13,MOD(MONTH(A121)-4,12)+1))</f>
        <v/>
      </c>
    </row>
    <row r="122" customFormat="false" ht="15" hidden="false" customHeight="false" outlineLevel="0" collapsed="false">
      <c r="A122" s="21"/>
      <c r="B122" s="6"/>
      <c r="C122" s="6"/>
      <c r="D122" s="6"/>
      <c r="E122" s="6"/>
      <c r="F122" s="22"/>
      <c r="G122" s="23"/>
      <c r="H122" s="24" t="str">
        <f aca="false">IF(B122="","",IFERROR(INDEX('Start here'!$C$16:$C$20,MATCH(B122,'Start here'!$B$16:$B$20,0)),"Check vehicle"))</f>
        <v/>
      </c>
      <c r="I122" s="25" t="str">
        <f aca="false">IF(OR(F122="",H122&lt;&gt;"Car or van"),"",SUMIFS($F$6:F122,$H$6:H122,"Car or van"))</f>
        <v/>
      </c>
      <c r="J122" s="24" t="str">
        <f aca="false">IF(F122="","",IF(H122="Car or van",IF(O122=0,TEXT(INDEX('Notes and sources'!$C$6:$D$6,1,'Start here'!$C$11)*100,"0")&amp;"p",IF(N122=0,TEXT(INDEX('Notes and sources'!$C$7:$D$7,1,'Start here'!$C$11)*100,"0")&amp;"p",TEXT(INDEX('Notes and sources'!$C$6:$D$6,1,'Start here'!$C$11)*100,"0")&amp;"p/"&amp;TEXT(INDEX('Notes and sources'!$C$7:$D$7,1,'Start here'!$C$11)*100,"0")&amp;"p")),IF(H122="Motorcycle",TEXT(INDEX('Notes and sources'!$C$8:$D$8,1,'Start here'!$C$11)*100,"0")&amp;"p",IF(H122="Bicycle",TEXT(INDEX('Notes and sources'!$C$9:$D$9,1,'Start here'!$C$11)*100,"0")&amp;"p",""))))</f>
        <v/>
      </c>
      <c r="K122" s="26" t="str">
        <f aca="false">IF(F122="","",ROUND(IF(H122="Car or van",N122*INDEX('Notes and sources'!$C$6:$D$6,1,'Start here'!$C$11)+O122*INDEX('Notes and sources'!$C$7:$D$7,1,'Start here'!$C$11)+N(G122)*N(F122)*INDEX('Notes and sources'!$C$10:$D$10,1,'Start here'!$C$11),IF(H122="Motorcycle",N(F122)*INDEX('Notes and sources'!$C$8:$D$8,1,'Start here'!$C$11),IF(H122="Bicycle",N(F122)*INDEX('Notes and sources'!$C$9:$D$9,1,'Start here'!$C$11),0))),2))</f>
        <v/>
      </c>
      <c r="L122" s="27"/>
      <c r="N122" s="2" t="n">
        <f aca="false">IF(I122="",0,MAX(0,MIN(N(F122),INDEX('Notes and sources'!$C$12:$D$12,1,'Start here'!$C$11)-(I122-N(F122)))))</f>
        <v>0</v>
      </c>
      <c r="O122" s="2" t="n">
        <f aca="false">IF(I122="",0,N(F122)-N122)</f>
        <v>0</v>
      </c>
      <c r="P122" s="2" t="str">
        <f aca="false">IF(A122="","",IF(AND(MONTH(A122)=4,DAY(A122)&lt;6),13,MOD(MONTH(A122)-4,12)+1))</f>
        <v/>
      </c>
    </row>
    <row r="123" customFormat="false" ht="15" hidden="false" customHeight="false" outlineLevel="0" collapsed="false">
      <c r="A123" s="21"/>
      <c r="B123" s="6"/>
      <c r="C123" s="6"/>
      <c r="D123" s="6"/>
      <c r="E123" s="6"/>
      <c r="F123" s="22"/>
      <c r="G123" s="23"/>
      <c r="H123" s="24" t="str">
        <f aca="false">IF(B123="","",IFERROR(INDEX('Start here'!$C$16:$C$20,MATCH(B123,'Start here'!$B$16:$B$20,0)),"Check vehicle"))</f>
        <v/>
      </c>
      <c r="I123" s="25" t="str">
        <f aca="false">IF(OR(F123="",H123&lt;&gt;"Car or van"),"",SUMIFS($F$6:F123,$H$6:H123,"Car or van"))</f>
        <v/>
      </c>
      <c r="J123" s="24" t="str">
        <f aca="false">IF(F123="","",IF(H123="Car or van",IF(O123=0,TEXT(INDEX('Notes and sources'!$C$6:$D$6,1,'Start here'!$C$11)*100,"0")&amp;"p",IF(N123=0,TEXT(INDEX('Notes and sources'!$C$7:$D$7,1,'Start here'!$C$11)*100,"0")&amp;"p",TEXT(INDEX('Notes and sources'!$C$6:$D$6,1,'Start here'!$C$11)*100,"0")&amp;"p/"&amp;TEXT(INDEX('Notes and sources'!$C$7:$D$7,1,'Start here'!$C$11)*100,"0")&amp;"p")),IF(H123="Motorcycle",TEXT(INDEX('Notes and sources'!$C$8:$D$8,1,'Start here'!$C$11)*100,"0")&amp;"p",IF(H123="Bicycle",TEXT(INDEX('Notes and sources'!$C$9:$D$9,1,'Start here'!$C$11)*100,"0")&amp;"p",""))))</f>
        <v/>
      </c>
      <c r="K123" s="26" t="str">
        <f aca="false">IF(F123="","",ROUND(IF(H123="Car or van",N123*INDEX('Notes and sources'!$C$6:$D$6,1,'Start here'!$C$11)+O123*INDEX('Notes and sources'!$C$7:$D$7,1,'Start here'!$C$11)+N(G123)*N(F123)*INDEX('Notes and sources'!$C$10:$D$10,1,'Start here'!$C$11),IF(H123="Motorcycle",N(F123)*INDEX('Notes and sources'!$C$8:$D$8,1,'Start here'!$C$11),IF(H123="Bicycle",N(F123)*INDEX('Notes and sources'!$C$9:$D$9,1,'Start here'!$C$11),0))),2))</f>
        <v/>
      </c>
      <c r="L123" s="27"/>
      <c r="N123" s="2" t="n">
        <f aca="false">IF(I123="",0,MAX(0,MIN(N(F123),INDEX('Notes and sources'!$C$12:$D$12,1,'Start here'!$C$11)-(I123-N(F123)))))</f>
        <v>0</v>
      </c>
      <c r="O123" s="2" t="n">
        <f aca="false">IF(I123="",0,N(F123)-N123)</f>
        <v>0</v>
      </c>
      <c r="P123" s="2" t="str">
        <f aca="false">IF(A123="","",IF(AND(MONTH(A123)=4,DAY(A123)&lt;6),13,MOD(MONTH(A123)-4,12)+1))</f>
        <v/>
      </c>
    </row>
    <row r="124" customFormat="false" ht="15" hidden="false" customHeight="false" outlineLevel="0" collapsed="false">
      <c r="A124" s="21"/>
      <c r="B124" s="6"/>
      <c r="C124" s="6"/>
      <c r="D124" s="6"/>
      <c r="E124" s="6"/>
      <c r="F124" s="22"/>
      <c r="G124" s="23"/>
      <c r="H124" s="24" t="str">
        <f aca="false">IF(B124="","",IFERROR(INDEX('Start here'!$C$16:$C$20,MATCH(B124,'Start here'!$B$16:$B$20,0)),"Check vehicle"))</f>
        <v/>
      </c>
      <c r="I124" s="25" t="str">
        <f aca="false">IF(OR(F124="",H124&lt;&gt;"Car or van"),"",SUMIFS($F$6:F124,$H$6:H124,"Car or van"))</f>
        <v/>
      </c>
      <c r="J124" s="24" t="str">
        <f aca="false">IF(F124="","",IF(H124="Car or van",IF(O124=0,TEXT(INDEX('Notes and sources'!$C$6:$D$6,1,'Start here'!$C$11)*100,"0")&amp;"p",IF(N124=0,TEXT(INDEX('Notes and sources'!$C$7:$D$7,1,'Start here'!$C$11)*100,"0")&amp;"p",TEXT(INDEX('Notes and sources'!$C$6:$D$6,1,'Start here'!$C$11)*100,"0")&amp;"p/"&amp;TEXT(INDEX('Notes and sources'!$C$7:$D$7,1,'Start here'!$C$11)*100,"0")&amp;"p")),IF(H124="Motorcycle",TEXT(INDEX('Notes and sources'!$C$8:$D$8,1,'Start here'!$C$11)*100,"0")&amp;"p",IF(H124="Bicycle",TEXT(INDEX('Notes and sources'!$C$9:$D$9,1,'Start here'!$C$11)*100,"0")&amp;"p",""))))</f>
        <v/>
      </c>
      <c r="K124" s="26" t="str">
        <f aca="false">IF(F124="","",ROUND(IF(H124="Car or van",N124*INDEX('Notes and sources'!$C$6:$D$6,1,'Start here'!$C$11)+O124*INDEX('Notes and sources'!$C$7:$D$7,1,'Start here'!$C$11)+N(G124)*N(F124)*INDEX('Notes and sources'!$C$10:$D$10,1,'Start here'!$C$11),IF(H124="Motorcycle",N(F124)*INDEX('Notes and sources'!$C$8:$D$8,1,'Start here'!$C$11),IF(H124="Bicycle",N(F124)*INDEX('Notes and sources'!$C$9:$D$9,1,'Start here'!$C$11),0))),2))</f>
        <v/>
      </c>
      <c r="L124" s="27"/>
      <c r="N124" s="2" t="n">
        <f aca="false">IF(I124="",0,MAX(0,MIN(N(F124),INDEX('Notes and sources'!$C$12:$D$12,1,'Start here'!$C$11)-(I124-N(F124)))))</f>
        <v>0</v>
      </c>
      <c r="O124" s="2" t="n">
        <f aca="false">IF(I124="",0,N(F124)-N124)</f>
        <v>0</v>
      </c>
      <c r="P124" s="2" t="str">
        <f aca="false">IF(A124="","",IF(AND(MONTH(A124)=4,DAY(A124)&lt;6),13,MOD(MONTH(A124)-4,12)+1))</f>
        <v/>
      </c>
    </row>
    <row r="125" customFormat="false" ht="15" hidden="false" customHeight="false" outlineLevel="0" collapsed="false">
      <c r="A125" s="21"/>
      <c r="B125" s="6"/>
      <c r="C125" s="6"/>
      <c r="D125" s="6"/>
      <c r="E125" s="6"/>
      <c r="F125" s="22"/>
      <c r="G125" s="23"/>
      <c r="H125" s="24" t="str">
        <f aca="false">IF(B125="","",IFERROR(INDEX('Start here'!$C$16:$C$20,MATCH(B125,'Start here'!$B$16:$B$20,0)),"Check vehicle"))</f>
        <v/>
      </c>
      <c r="I125" s="25" t="str">
        <f aca="false">IF(OR(F125="",H125&lt;&gt;"Car or van"),"",SUMIFS($F$6:F125,$H$6:H125,"Car or van"))</f>
        <v/>
      </c>
      <c r="J125" s="24" t="str">
        <f aca="false">IF(F125="","",IF(H125="Car or van",IF(O125=0,TEXT(INDEX('Notes and sources'!$C$6:$D$6,1,'Start here'!$C$11)*100,"0")&amp;"p",IF(N125=0,TEXT(INDEX('Notes and sources'!$C$7:$D$7,1,'Start here'!$C$11)*100,"0")&amp;"p",TEXT(INDEX('Notes and sources'!$C$6:$D$6,1,'Start here'!$C$11)*100,"0")&amp;"p/"&amp;TEXT(INDEX('Notes and sources'!$C$7:$D$7,1,'Start here'!$C$11)*100,"0")&amp;"p")),IF(H125="Motorcycle",TEXT(INDEX('Notes and sources'!$C$8:$D$8,1,'Start here'!$C$11)*100,"0")&amp;"p",IF(H125="Bicycle",TEXT(INDEX('Notes and sources'!$C$9:$D$9,1,'Start here'!$C$11)*100,"0")&amp;"p",""))))</f>
        <v/>
      </c>
      <c r="K125" s="26" t="str">
        <f aca="false">IF(F125="","",ROUND(IF(H125="Car or van",N125*INDEX('Notes and sources'!$C$6:$D$6,1,'Start here'!$C$11)+O125*INDEX('Notes and sources'!$C$7:$D$7,1,'Start here'!$C$11)+N(G125)*N(F125)*INDEX('Notes and sources'!$C$10:$D$10,1,'Start here'!$C$11),IF(H125="Motorcycle",N(F125)*INDEX('Notes and sources'!$C$8:$D$8,1,'Start here'!$C$11),IF(H125="Bicycle",N(F125)*INDEX('Notes and sources'!$C$9:$D$9,1,'Start here'!$C$11),0))),2))</f>
        <v/>
      </c>
      <c r="L125" s="27"/>
      <c r="N125" s="2" t="n">
        <f aca="false">IF(I125="",0,MAX(0,MIN(N(F125),INDEX('Notes and sources'!$C$12:$D$12,1,'Start here'!$C$11)-(I125-N(F125)))))</f>
        <v>0</v>
      </c>
      <c r="O125" s="2" t="n">
        <f aca="false">IF(I125="",0,N(F125)-N125)</f>
        <v>0</v>
      </c>
      <c r="P125" s="2" t="str">
        <f aca="false">IF(A125="","",IF(AND(MONTH(A125)=4,DAY(A125)&lt;6),13,MOD(MONTH(A125)-4,12)+1))</f>
        <v/>
      </c>
    </row>
    <row r="126" customFormat="false" ht="15" hidden="false" customHeight="false" outlineLevel="0" collapsed="false">
      <c r="A126" s="21"/>
      <c r="B126" s="6"/>
      <c r="C126" s="6"/>
      <c r="D126" s="6"/>
      <c r="E126" s="6"/>
      <c r="F126" s="22"/>
      <c r="G126" s="23"/>
      <c r="H126" s="24" t="str">
        <f aca="false">IF(B126="","",IFERROR(INDEX('Start here'!$C$16:$C$20,MATCH(B126,'Start here'!$B$16:$B$20,0)),"Check vehicle"))</f>
        <v/>
      </c>
      <c r="I126" s="25" t="str">
        <f aca="false">IF(OR(F126="",H126&lt;&gt;"Car or van"),"",SUMIFS($F$6:F126,$H$6:H126,"Car or van"))</f>
        <v/>
      </c>
      <c r="J126" s="24" t="str">
        <f aca="false">IF(F126="","",IF(H126="Car or van",IF(O126=0,TEXT(INDEX('Notes and sources'!$C$6:$D$6,1,'Start here'!$C$11)*100,"0")&amp;"p",IF(N126=0,TEXT(INDEX('Notes and sources'!$C$7:$D$7,1,'Start here'!$C$11)*100,"0")&amp;"p",TEXT(INDEX('Notes and sources'!$C$6:$D$6,1,'Start here'!$C$11)*100,"0")&amp;"p/"&amp;TEXT(INDEX('Notes and sources'!$C$7:$D$7,1,'Start here'!$C$11)*100,"0")&amp;"p")),IF(H126="Motorcycle",TEXT(INDEX('Notes and sources'!$C$8:$D$8,1,'Start here'!$C$11)*100,"0")&amp;"p",IF(H126="Bicycle",TEXT(INDEX('Notes and sources'!$C$9:$D$9,1,'Start here'!$C$11)*100,"0")&amp;"p",""))))</f>
        <v/>
      </c>
      <c r="K126" s="26" t="str">
        <f aca="false">IF(F126="","",ROUND(IF(H126="Car or van",N126*INDEX('Notes and sources'!$C$6:$D$6,1,'Start here'!$C$11)+O126*INDEX('Notes and sources'!$C$7:$D$7,1,'Start here'!$C$11)+N(G126)*N(F126)*INDEX('Notes and sources'!$C$10:$D$10,1,'Start here'!$C$11),IF(H126="Motorcycle",N(F126)*INDEX('Notes and sources'!$C$8:$D$8,1,'Start here'!$C$11),IF(H126="Bicycle",N(F126)*INDEX('Notes and sources'!$C$9:$D$9,1,'Start here'!$C$11),0))),2))</f>
        <v/>
      </c>
      <c r="L126" s="27"/>
      <c r="N126" s="2" t="n">
        <f aca="false">IF(I126="",0,MAX(0,MIN(N(F126),INDEX('Notes and sources'!$C$12:$D$12,1,'Start here'!$C$11)-(I126-N(F126)))))</f>
        <v>0</v>
      </c>
      <c r="O126" s="2" t="n">
        <f aca="false">IF(I126="",0,N(F126)-N126)</f>
        <v>0</v>
      </c>
      <c r="P126" s="2" t="str">
        <f aca="false">IF(A126="","",IF(AND(MONTH(A126)=4,DAY(A126)&lt;6),13,MOD(MONTH(A126)-4,12)+1))</f>
        <v/>
      </c>
    </row>
    <row r="127" customFormat="false" ht="15" hidden="false" customHeight="false" outlineLevel="0" collapsed="false">
      <c r="A127" s="21"/>
      <c r="B127" s="6"/>
      <c r="C127" s="6"/>
      <c r="D127" s="6"/>
      <c r="E127" s="6"/>
      <c r="F127" s="22"/>
      <c r="G127" s="23"/>
      <c r="H127" s="24" t="str">
        <f aca="false">IF(B127="","",IFERROR(INDEX('Start here'!$C$16:$C$20,MATCH(B127,'Start here'!$B$16:$B$20,0)),"Check vehicle"))</f>
        <v/>
      </c>
      <c r="I127" s="25" t="str">
        <f aca="false">IF(OR(F127="",H127&lt;&gt;"Car or van"),"",SUMIFS($F$6:F127,$H$6:H127,"Car or van"))</f>
        <v/>
      </c>
      <c r="J127" s="24" t="str">
        <f aca="false">IF(F127="","",IF(H127="Car or van",IF(O127=0,TEXT(INDEX('Notes and sources'!$C$6:$D$6,1,'Start here'!$C$11)*100,"0")&amp;"p",IF(N127=0,TEXT(INDEX('Notes and sources'!$C$7:$D$7,1,'Start here'!$C$11)*100,"0")&amp;"p",TEXT(INDEX('Notes and sources'!$C$6:$D$6,1,'Start here'!$C$11)*100,"0")&amp;"p/"&amp;TEXT(INDEX('Notes and sources'!$C$7:$D$7,1,'Start here'!$C$11)*100,"0")&amp;"p")),IF(H127="Motorcycle",TEXT(INDEX('Notes and sources'!$C$8:$D$8,1,'Start here'!$C$11)*100,"0")&amp;"p",IF(H127="Bicycle",TEXT(INDEX('Notes and sources'!$C$9:$D$9,1,'Start here'!$C$11)*100,"0")&amp;"p",""))))</f>
        <v/>
      </c>
      <c r="K127" s="26" t="str">
        <f aca="false">IF(F127="","",ROUND(IF(H127="Car or van",N127*INDEX('Notes and sources'!$C$6:$D$6,1,'Start here'!$C$11)+O127*INDEX('Notes and sources'!$C$7:$D$7,1,'Start here'!$C$11)+N(G127)*N(F127)*INDEX('Notes and sources'!$C$10:$D$10,1,'Start here'!$C$11),IF(H127="Motorcycle",N(F127)*INDEX('Notes and sources'!$C$8:$D$8,1,'Start here'!$C$11),IF(H127="Bicycle",N(F127)*INDEX('Notes and sources'!$C$9:$D$9,1,'Start here'!$C$11),0))),2))</f>
        <v/>
      </c>
      <c r="L127" s="27"/>
      <c r="N127" s="2" t="n">
        <f aca="false">IF(I127="",0,MAX(0,MIN(N(F127),INDEX('Notes and sources'!$C$12:$D$12,1,'Start here'!$C$11)-(I127-N(F127)))))</f>
        <v>0</v>
      </c>
      <c r="O127" s="2" t="n">
        <f aca="false">IF(I127="",0,N(F127)-N127)</f>
        <v>0</v>
      </c>
      <c r="P127" s="2" t="str">
        <f aca="false">IF(A127="","",IF(AND(MONTH(A127)=4,DAY(A127)&lt;6),13,MOD(MONTH(A127)-4,12)+1))</f>
        <v/>
      </c>
    </row>
    <row r="128" customFormat="false" ht="15" hidden="false" customHeight="false" outlineLevel="0" collapsed="false">
      <c r="A128" s="21"/>
      <c r="B128" s="6"/>
      <c r="C128" s="6"/>
      <c r="D128" s="6"/>
      <c r="E128" s="6"/>
      <c r="F128" s="22"/>
      <c r="G128" s="23"/>
      <c r="H128" s="24" t="str">
        <f aca="false">IF(B128="","",IFERROR(INDEX('Start here'!$C$16:$C$20,MATCH(B128,'Start here'!$B$16:$B$20,0)),"Check vehicle"))</f>
        <v/>
      </c>
      <c r="I128" s="25" t="str">
        <f aca="false">IF(OR(F128="",H128&lt;&gt;"Car or van"),"",SUMIFS($F$6:F128,$H$6:H128,"Car or van"))</f>
        <v/>
      </c>
      <c r="J128" s="24" t="str">
        <f aca="false">IF(F128="","",IF(H128="Car or van",IF(O128=0,TEXT(INDEX('Notes and sources'!$C$6:$D$6,1,'Start here'!$C$11)*100,"0")&amp;"p",IF(N128=0,TEXT(INDEX('Notes and sources'!$C$7:$D$7,1,'Start here'!$C$11)*100,"0")&amp;"p",TEXT(INDEX('Notes and sources'!$C$6:$D$6,1,'Start here'!$C$11)*100,"0")&amp;"p/"&amp;TEXT(INDEX('Notes and sources'!$C$7:$D$7,1,'Start here'!$C$11)*100,"0")&amp;"p")),IF(H128="Motorcycle",TEXT(INDEX('Notes and sources'!$C$8:$D$8,1,'Start here'!$C$11)*100,"0")&amp;"p",IF(H128="Bicycle",TEXT(INDEX('Notes and sources'!$C$9:$D$9,1,'Start here'!$C$11)*100,"0")&amp;"p",""))))</f>
        <v/>
      </c>
      <c r="K128" s="26" t="str">
        <f aca="false">IF(F128="","",ROUND(IF(H128="Car or van",N128*INDEX('Notes and sources'!$C$6:$D$6,1,'Start here'!$C$11)+O128*INDEX('Notes and sources'!$C$7:$D$7,1,'Start here'!$C$11)+N(G128)*N(F128)*INDEX('Notes and sources'!$C$10:$D$10,1,'Start here'!$C$11),IF(H128="Motorcycle",N(F128)*INDEX('Notes and sources'!$C$8:$D$8,1,'Start here'!$C$11),IF(H128="Bicycle",N(F128)*INDEX('Notes and sources'!$C$9:$D$9,1,'Start here'!$C$11),0))),2))</f>
        <v/>
      </c>
      <c r="L128" s="27"/>
      <c r="N128" s="2" t="n">
        <f aca="false">IF(I128="",0,MAX(0,MIN(N(F128),INDEX('Notes and sources'!$C$12:$D$12,1,'Start here'!$C$11)-(I128-N(F128)))))</f>
        <v>0</v>
      </c>
      <c r="O128" s="2" t="n">
        <f aca="false">IF(I128="",0,N(F128)-N128)</f>
        <v>0</v>
      </c>
      <c r="P128" s="2" t="str">
        <f aca="false">IF(A128="","",IF(AND(MONTH(A128)=4,DAY(A128)&lt;6),13,MOD(MONTH(A128)-4,12)+1))</f>
        <v/>
      </c>
    </row>
    <row r="129" customFormat="false" ht="15" hidden="false" customHeight="false" outlineLevel="0" collapsed="false">
      <c r="A129" s="21"/>
      <c r="B129" s="6"/>
      <c r="C129" s="6"/>
      <c r="D129" s="6"/>
      <c r="E129" s="6"/>
      <c r="F129" s="22"/>
      <c r="G129" s="23"/>
      <c r="H129" s="24" t="str">
        <f aca="false">IF(B129="","",IFERROR(INDEX('Start here'!$C$16:$C$20,MATCH(B129,'Start here'!$B$16:$B$20,0)),"Check vehicle"))</f>
        <v/>
      </c>
      <c r="I129" s="25" t="str">
        <f aca="false">IF(OR(F129="",H129&lt;&gt;"Car or van"),"",SUMIFS($F$6:F129,$H$6:H129,"Car or van"))</f>
        <v/>
      </c>
      <c r="J129" s="24" t="str">
        <f aca="false">IF(F129="","",IF(H129="Car or van",IF(O129=0,TEXT(INDEX('Notes and sources'!$C$6:$D$6,1,'Start here'!$C$11)*100,"0")&amp;"p",IF(N129=0,TEXT(INDEX('Notes and sources'!$C$7:$D$7,1,'Start here'!$C$11)*100,"0")&amp;"p",TEXT(INDEX('Notes and sources'!$C$6:$D$6,1,'Start here'!$C$11)*100,"0")&amp;"p/"&amp;TEXT(INDEX('Notes and sources'!$C$7:$D$7,1,'Start here'!$C$11)*100,"0")&amp;"p")),IF(H129="Motorcycle",TEXT(INDEX('Notes and sources'!$C$8:$D$8,1,'Start here'!$C$11)*100,"0")&amp;"p",IF(H129="Bicycle",TEXT(INDEX('Notes and sources'!$C$9:$D$9,1,'Start here'!$C$11)*100,"0")&amp;"p",""))))</f>
        <v/>
      </c>
      <c r="K129" s="26" t="str">
        <f aca="false">IF(F129="","",ROUND(IF(H129="Car or van",N129*INDEX('Notes and sources'!$C$6:$D$6,1,'Start here'!$C$11)+O129*INDEX('Notes and sources'!$C$7:$D$7,1,'Start here'!$C$11)+N(G129)*N(F129)*INDEX('Notes and sources'!$C$10:$D$10,1,'Start here'!$C$11),IF(H129="Motorcycle",N(F129)*INDEX('Notes and sources'!$C$8:$D$8,1,'Start here'!$C$11),IF(H129="Bicycle",N(F129)*INDEX('Notes and sources'!$C$9:$D$9,1,'Start here'!$C$11),0))),2))</f>
        <v/>
      </c>
      <c r="L129" s="27"/>
      <c r="N129" s="2" t="n">
        <f aca="false">IF(I129="",0,MAX(0,MIN(N(F129),INDEX('Notes and sources'!$C$12:$D$12,1,'Start here'!$C$11)-(I129-N(F129)))))</f>
        <v>0</v>
      </c>
      <c r="O129" s="2" t="n">
        <f aca="false">IF(I129="",0,N(F129)-N129)</f>
        <v>0</v>
      </c>
      <c r="P129" s="2" t="str">
        <f aca="false">IF(A129="","",IF(AND(MONTH(A129)=4,DAY(A129)&lt;6),13,MOD(MONTH(A129)-4,12)+1))</f>
        <v/>
      </c>
    </row>
    <row r="130" customFormat="false" ht="15" hidden="false" customHeight="false" outlineLevel="0" collapsed="false">
      <c r="A130" s="21"/>
      <c r="B130" s="6"/>
      <c r="C130" s="6"/>
      <c r="D130" s="6"/>
      <c r="E130" s="6"/>
      <c r="F130" s="22"/>
      <c r="G130" s="23"/>
      <c r="H130" s="24" t="str">
        <f aca="false">IF(B130="","",IFERROR(INDEX('Start here'!$C$16:$C$20,MATCH(B130,'Start here'!$B$16:$B$20,0)),"Check vehicle"))</f>
        <v/>
      </c>
      <c r="I130" s="25" t="str">
        <f aca="false">IF(OR(F130="",H130&lt;&gt;"Car or van"),"",SUMIFS($F$6:F130,$H$6:H130,"Car or van"))</f>
        <v/>
      </c>
      <c r="J130" s="24" t="str">
        <f aca="false">IF(F130="","",IF(H130="Car or van",IF(O130=0,TEXT(INDEX('Notes and sources'!$C$6:$D$6,1,'Start here'!$C$11)*100,"0")&amp;"p",IF(N130=0,TEXT(INDEX('Notes and sources'!$C$7:$D$7,1,'Start here'!$C$11)*100,"0")&amp;"p",TEXT(INDEX('Notes and sources'!$C$6:$D$6,1,'Start here'!$C$11)*100,"0")&amp;"p/"&amp;TEXT(INDEX('Notes and sources'!$C$7:$D$7,1,'Start here'!$C$11)*100,"0")&amp;"p")),IF(H130="Motorcycle",TEXT(INDEX('Notes and sources'!$C$8:$D$8,1,'Start here'!$C$11)*100,"0")&amp;"p",IF(H130="Bicycle",TEXT(INDEX('Notes and sources'!$C$9:$D$9,1,'Start here'!$C$11)*100,"0")&amp;"p",""))))</f>
        <v/>
      </c>
      <c r="K130" s="26" t="str">
        <f aca="false">IF(F130="","",ROUND(IF(H130="Car or van",N130*INDEX('Notes and sources'!$C$6:$D$6,1,'Start here'!$C$11)+O130*INDEX('Notes and sources'!$C$7:$D$7,1,'Start here'!$C$11)+N(G130)*N(F130)*INDEX('Notes and sources'!$C$10:$D$10,1,'Start here'!$C$11),IF(H130="Motorcycle",N(F130)*INDEX('Notes and sources'!$C$8:$D$8,1,'Start here'!$C$11),IF(H130="Bicycle",N(F130)*INDEX('Notes and sources'!$C$9:$D$9,1,'Start here'!$C$11),0))),2))</f>
        <v/>
      </c>
      <c r="L130" s="27"/>
      <c r="N130" s="2" t="n">
        <f aca="false">IF(I130="",0,MAX(0,MIN(N(F130),INDEX('Notes and sources'!$C$12:$D$12,1,'Start here'!$C$11)-(I130-N(F130)))))</f>
        <v>0</v>
      </c>
      <c r="O130" s="2" t="n">
        <f aca="false">IF(I130="",0,N(F130)-N130)</f>
        <v>0</v>
      </c>
      <c r="P130" s="2" t="str">
        <f aca="false">IF(A130="","",IF(AND(MONTH(A130)=4,DAY(A130)&lt;6),13,MOD(MONTH(A130)-4,12)+1))</f>
        <v/>
      </c>
    </row>
    <row r="131" customFormat="false" ht="15" hidden="false" customHeight="false" outlineLevel="0" collapsed="false">
      <c r="A131" s="21"/>
      <c r="B131" s="6"/>
      <c r="C131" s="6"/>
      <c r="D131" s="6"/>
      <c r="E131" s="6"/>
      <c r="F131" s="22"/>
      <c r="G131" s="23"/>
      <c r="H131" s="24" t="str">
        <f aca="false">IF(B131="","",IFERROR(INDEX('Start here'!$C$16:$C$20,MATCH(B131,'Start here'!$B$16:$B$20,0)),"Check vehicle"))</f>
        <v/>
      </c>
      <c r="I131" s="25" t="str">
        <f aca="false">IF(OR(F131="",H131&lt;&gt;"Car or van"),"",SUMIFS($F$6:F131,$H$6:H131,"Car or van"))</f>
        <v/>
      </c>
      <c r="J131" s="24" t="str">
        <f aca="false">IF(F131="","",IF(H131="Car or van",IF(O131=0,TEXT(INDEX('Notes and sources'!$C$6:$D$6,1,'Start here'!$C$11)*100,"0")&amp;"p",IF(N131=0,TEXT(INDEX('Notes and sources'!$C$7:$D$7,1,'Start here'!$C$11)*100,"0")&amp;"p",TEXT(INDEX('Notes and sources'!$C$6:$D$6,1,'Start here'!$C$11)*100,"0")&amp;"p/"&amp;TEXT(INDEX('Notes and sources'!$C$7:$D$7,1,'Start here'!$C$11)*100,"0")&amp;"p")),IF(H131="Motorcycle",TEXT(INDEX('Notes and sources'!$C$8:$D$8,1,'Start here'!$C$11)*100,"0")&amp;"p",IF(H131="Bicycle",TEXT(INDEX('Notes and sources'!$C$9:$D$9,1,'Start here'!$C$11)*100,"0")&amp;"p",""))))</f>
        <v/>
      </c>
      <c r="K131" s="26" t="str">
        <f aca="false">IF(F131="","",ROUND(IF(H131="Car or van",N131*INDEX('Notes and sources'!$C$6:$D$6,1,'Start here'!$C$11)+O131*INDEX('Notes and sources'!$C$7:$D$7,1,'Start here'!$C$11)+N(G131)*N(F131)*INDEX('Notes and sources'!$C$10:$D$10,1,'Start here'!$C$11),IF(H131="Motorcycle",N(F131)*INDEX('Notes and sources'!$C$8:$D$8,1,'Start here'!$C$11),IF(H131="Bicycle",N(F131)*INDEX('Notes and sources'!$C$9:$D$9,1,'Start here'!$C$11),0))),2))</f>
        <v/>
      </c>
      <c r="L131" s="27"/>
      <c r="N131" s="2" t="n">
        <f aca="false">IF(I131="",0,MAX(0,MIN(N(F131),INDEX('Notes and sources'!$C$12:$D$12,1,'Start here'!$C$11)-(I131-N(F131)))))</f>
        <v>0</v>
      </c>
      <c r="O131" s="2" t="n">
        <f aca="false">IF(I131="",0,N(F131)-N131)</f>
        <v>0</v>
      </c>
      <c r="P131" s="2" t="str">
        <f aca="false">IF(A131="","",IF(AND(MONTH(A131)=4,DAY(A131)&lt;6),13,MOD(MONTH(A131)-4,12)+1))</f>
        <v/>
      </c>
    </row>
    <row r="132" customFormat="false" ht="15" hidden="false" customHeight="false" outlineLevel="0" collapsed="false">
      <c r="A132" s="21"/>
      <c r="B132" s="6"/>
      <c r="C132" s="6"/>
      <c r="D132" s="6"/>
      <c r="E132" s="6"/>
      <c r="F132" s="22"/>
      <c r="G132" s="23"/>
      <c r="H132" s="24" t="str">
        <f aca="false">IF(B132="","",IFERROR(INDEX('Start here'!$C$16:$C$20,MATCH(B132,'Start here'!$B$16:$B$20,0)),"Check vehicle"))</f>
        <v/>
      </c>
      <c r="I132" s="25" t="str">
        <f aca="false">IF(OR(F132="",H132&lt;&gt;"Car or van"),"",SUMIFS($F$6:F132,$H$6:H132,"Car or van"))</f>
        <v/>
      </c>
      <c r="J132" s="24" t="str">
        <f aca="false">IF(F132="","",IF(H132="Car or van",IF(O132=0,TEXT(INDEX('Notes and sources'!$C$6:$D$6,1,'Start here'!$C$11)*100,"0")&amp;"p",IF(N132=0,TEXT(INDEX('Notes and sources'!$C$7:$D$7,1,'Start here'!$C$11)*100,"0")&amp;"p",TEXT(INDEX('Notes and sources'!$C$6:$D$6,1,'Start here'!$C$11)*100,"0")&amp;"p/"&amp;TEXT(INDEX('Notes and sources'!$C$7:$D$7,1,'Start here'!$C$11)*100,"0")&amp;"p")),IF(H132="Motorcycle",TEXT(INDEX('Notes and sources'!$C$8:$D$8,1,'Start here'!$C$11)*100,"0")&amp;"p",IF(H132="Bicycle",TEXT(INDEX('Notes and sources'!$C$9:$D$9,1,'Start here'!$C$11)*100,"0")&amp;"p",""))))</f>
        <v/>
      </c>
      <c r="K132" s="26" t="str">
        <f aca="false">IF(F132="","",ROUND(IF(H132="Car or van",N132*INDEX('Notes and sources'!$C$6:$D$6,1,'Start here'!$C$11)+O132*INDEX('Notes and sources'!$C$7:$D$7,1,'Start here'!$C$11)+N(G132)*N(F132)*INDEX('Notes and sources'!$C$10:$D$10,1,'Start here'!$C$11),IF(H132="Motorcycle",N(F132)*INDEX('Notes and sources'!$C$8:$D$8,1,'Start here'!$C$11),IF(H132="Bicycle",N(F132)*INDEX('Notes and sources'!$C$9:$D$9,1,'Start here'!$C$11),0))),2))</f>
        <v/>
      </c>
      <c r="L132" s="27"/>
      <c r="N132" s="2" t="n">
        <f aca="false">IF(I132="",0,MAX(0,MIN(N(F132),INDEX('Notes and sources'!$C$12:$D$12,1,'Start here'!$C$11)-(I132-N(F132)))))</f>
        <v>0</v>
      </c>
      <c r="O132" s="2" t="n">
        <f aca="false">IF(I132="",0,N(F132)-N132)</f>
        <v>0</v>
      </c>
      <c r="P132" s="2" t="str">
        <f aca="false">IF(A132="","",IF(AND(MONTH(A132)=4,DAY(A132)&lt;6),13,MOD(MONTH(A132)-4,12)+1))</f>
        <v/>
      </c>
    </row>
    <row r="133" customFormat="false" ht="15" hidden="false" customHeight="false" outlineLevel="0" collapsed="false">
      <c r="A133" s="21"/>
      <c r="B133" s="6"/>
      <c r="C133" s="6"/>
      <c r="D133" s="6"/>
      <c r="E133" s="6"/>
      <c r="F133" s="22"/>
      <c r="G133" s="23"/>
      <c r="H133" s="24" t="str">
        <f aca="false">IF(B133="","",IFERROR(INDEX('Start here'!$C$16:$C$20,MATCH(B133,'Start here'!$B$16:$B$20,0)),"Check vehicle"))</f>
        <v/>
      </c>
      <c r="I133" s="25" t="str">
        <f aca="false">IF(OR(F133="",H133&lt;&gt;"Car or van"),"",SUMIFS($F$6:F133,$H$6:H133,"Car or van"))</f>
        <v/>
      </c>
      <c r="J133" s="24" t="str">
        <f aca="false">IF(F133="","",IF(H133="Car or van",IF(O133=0,TEXT(INDEX('Notes and sources'!$C$6:$D$6,1,'Start here'!$C$11)*100,"0")&amp;"p",IF(N133=0,TEXT(INDEX('Notes and sources'!$C$7:$D$7,1,'Start here'!$C$11)*100,"0")&amp;"p",TEXT(INDEX('Notes and sources'!$C$6:$D$6,1,'Start here'!$C$11)*100,"0")&amp;"p/"&amp;TEXT(INDEX('Notes and sources'!$C$7:$D$7,1,'Start here'!$C$11)*100,"0")&amp;"p")),IF(H133="Motorcycle",TEXT(INDEX('Notes and sources'!$C$8:$D$8,1,'Start here'!$C$11)*100,"0")&amp;"p",IF(H133="Bicycle",TEXT(INDEX('Notes and sources'!$C$9:$D$9,1,'Start here'!$C$11)*100,"0")&amp;"p",""))))</f>
        <v/>
      </c>
      <c r="K133" s="26" t="str">
        <f aca="false">IF(F133="","",ROUND(IF(H133="Car or van",N133*INDEX('Notes and sources'!$C$6:$D$6,1,'Start here'!$C$11)+O133*INDEX('Notes and sources'!$C$7:$D$7,1,'Start here'!$C$11)+N(G133)*N(F133)*INDEX('Notes and sources'!$C$10:$D$10,1,'Start here'!$C$11),IF(H133="Motorcycle",N(F133)*INDEX('Notes and sources'!$C$8:$D$8,1,'Start here'!$C$11),IF(H133="Bicycle",N(F133)*INDEX('Notes and sources'!$C$9:$D$9,1,'Start here'!$C$11),0))),2))</f>
        <v/>
      </c>
      <c r="L133" s="27"/>
      <c r="N133" s="2" t="n">
        <f aca="false">IF(I133="",0,MAX(0,MIN(N(F133),INDEX('Notes and sources'!$C$12:$D$12,1,'Start here'!$C$11)-(I133-N(F133)))))</f>
        <v>0</v>
      </c>
      <c r="O133" s="2" t="n">
        <f aca="false">IF(I133="",0,N(F133)-N133)</f>
        <v>0</v>
      </c>
      <c r="P133" s="2" t="str">
        <f aca="false">IF(A133="","",IF(AND(MONTH(A133)=4,DAY(A133)&lt;6),13,MOD(MONTH(A133)-4,12)+1))</f>
        <v/>
      </c>
    </row>
    <row r="134" customFormat="false" ht="15" hidden="false" customHeight="false" outlineLevel="0" collapsed="false">
      <c r="A134" s="21"/>
      <c r="B134" s="6"/>
      <c r="C134" s="6"/>
      <c r="D134" s="6"/>
      <c r="E134" s="6"/>
      <c r="F134" s="22"/>
      <c r="G134" s="23"/>
      <c r="H134" s="24" t="str">
        <f aca="false">IF(B134="","",IFERROR(INDEX('Start here'!$C$16:$C$20,MATCH(B134,'Start here'!$B$16:$B$20,0)),"Check vehicle"))</f>
        <v/>
      </c>
      <c r="I134" s="25" t="str">
        <f aca="false">IF(OR(F134="",H134&lt;&gt;"Car or van"),"",SUMIFS($F$6:F134,$H$6:H134,"Car or van"))</f>
        <v/>
      </c>
      <c r="J134" s="24" t="str">
        <f aca="false">IF(F134="","",IF(H134="Car or van",IF(O134=0,TEXT(INDEX('Notes and sources'!$C$6:$D$6,1,'Start here'!$C$11)*100,"0")&amp;"p",IF(N134=0,TEXT(INDEX('Notes and sources'!$C$7:$D$7,1,'Start here'!$C$11)*100,"0")&amp;"p",TEXT(INDEX('Notes and sources'!$C$6:$D$6,1,'Start here'!$C$11)*100,"0")&amp;"p/"&amp;TEXT(INDEX('Notes and sources'!$C$7:$D$7,1,'Start here'!$C$11)*100,"0")&amp;"p")),IF(H134="Motorcycle",TEXT(INDEX('Notes and sources'!$C$8:$D$8,1,'Start here'!$C$11)*100,"0")&amp;"p",IF(H134="Bicycle",TEXT(INDEX('Notes and sources'!$C$9:$D$9,1,'Start here'!$C$11)*100,"0")&amp;"p",""))))</f>
        <v/>
      </c>
      <c r="K134" s="26" t="str">
        <f aca="false">IF(F134="","",ROUND(IF(H134="Car or van",N134*INDEX('Notes and sources'!$C$6:$D$6,1,'Start here'!$C$11)+O134*INDEX('Notes and sources'!$C$7:$D$7,1,'Start here'!$C$11)+N(G134)*N(F134)*INDEX('Notes and sources'!$C$10:$D$10,1,'Start here'!$C$11),IF(H134="Motorcycle",N(F134)*INDEX('Notes and sources'!$C$8:$D$8,1,'Start here'!$C$11),IF(H134="Bicycle",N(F134)*INDEX('Notes and sources'!$C$9:$D$9,1,'Start here'!$C$11),0))),2))</f>
        <v/>
      </c>
      <c r="L134" s="27"/>
      <c r="N134" s="2" t="n">
        <f aca="false">IF(I134="",0,MAX(0,MIN(N(F134),INDEX('Notes and sources'!$C$12:$D$12,1,'Start here'!$C$11)-(I134-N(F134)))))</f>
        <v>0</v>
      </c>
      <c r="O134" s="2" t="n">
        <f aca="false">IF(I134="",0,N(F134)-N134)</f>
        <v>0</v>
      </c>
      <c r="P134" s="2" t="str">
        <f aca="false">IF(A134="","",IF(AND(MONTH(A134)=4,DAY(A134)&lt;6),13,MOD(MONTH(A134)-4,12)+1))</f>
        <v/>
      </c>
    </row>
    <row r="135" customFormat="false" ht="15" hidden="false" customHeight="false" outlineLevel="0" collapsed="false">
      <c r="A135" s="21"/>
      <c r="B135" s="6"/>
      <c r="C135" s="6"/>
      <c r="D135" s="6"/>
      <c r="E135" s="6"/>
      <c r="F135" s="22"/>
      <c r="G135" s="23"/>
      <c r="H135" s="24" t="str">
        <f aca="false">IF(B135="","",IFERROR(INDEX('Start here'!$C$16:$C$20,MATCH(B135,'Start here'!$B$16:$B$20,0)),"Check vehicle"))</f>
        <v/>
      </c>
      <c r="I135" s="25" t="str">
        <f aca="false">IF(OR(F135="",H135&lt;&gt;"Car or van"),"",SUMIFS($F$6:F135,$H$6:H135,"Car or van"))</f>
        <v/>
      </c>
      <c r="J135" s="24" t="str">
        <f aca="false">IF(F135="","",IF(H135="Car or van",IF(O135=0,TEXT(INDEX('Notes and sources'!$C$6:$D$6,1,'Start here'!$C$11)*100,"0")&amp;"p",IF(N135=0,TEXT(INDEX('Notes and sources'!$C$7:$D$7,1,'Start here'!$C$11)*100,"0")&amp;"p",TEXT(INDEX('Notes and sources'!$C$6:$D$6,1,'Start here'!$C$11)*100,"0")&amp;"p/"&amp;TEXT(INDEX('Notes and sources'!$C$7:$D$7,1,'Start here'!$C$11)*100,"0")&amp;"p")),IF(H135="Motorcycle",TEXT(INDEX('Notes and sources'!$C$8:$D$8,1,'Start here'!$C$11)*100,"0")&amp;"p",IF(H135="Bicycle",TEXT(INDEX('Notes and sources'!$C$9:$D$9,1,'Start here'!$C$11)*100,"0")&amp;"p",""))))</f>
        <v/>
      </c>
      <c r="K135" s="26" t="str">
        <f aca="false">IF(F135="","",ROUND(IF(H135="Car or van",N135*INDEX('Notes and sources'!$C$6:$D$6,1,'Start here'!$C$11)+O135*INDEX('Notes and sources'!$C$7:$D$7,1,'Start here'!$C$11)+N(G135)*N(F135)*INDEX('Notes and sources'!$C$10:$D$10,1,'Start here'!$C$11),IF(H135="Motorcycle",N(F135)*INDEX('Notes and sources'!$C$8:$D$8,1,'Start here'!$C$11),IF(H135="Bicycle",N(F135)*INDEX('Notes and sources'!$C$9:$D$9,1,'Start here'!$C$11),0))),2))</f>
        <v/>
      </c>
      <c r="L135" s="27"/>
      <c r="N135" s="2" t="n">
        <f aca="false">IF(I135="",0,MAX(0,MIN(N(F135),INDEX('Notes and sources'!$C$12:$D$12,1,'Start here'!$C$11)-(I135-N(F135)))))</f>
        <v>0</v>
      </c>
      <c r="O135" s="2" t="n">
        <f aca="false">IF(I135="",0,N(F135)-N135)</f>
        <v>0</v>
      </c>
      <c r="P135" s="2" t="str">
        <f aca="false">IF(A135="","",IF(AND(MONTH(A135)=4,DAY(A135)&lt;6),13,MOD(MONTH(A135)-4,12)+1))</f>
        <v/>
      </c>
    </row>
    <row r="136" customFormat="false" ht="15" hidden="false" customHeight="false" outlineLevel="0" collapsed="false">
      <c r="A136" s="21"/>
      <c r="B136" s="6"/>
      <c r="C136" s="6"/>
      <c r="D136" s="6"/>
      <c r="E136" s="6"/>
      <c r="F136" s="22"/>
      <c r="G136" s="23"/>
      <c r="H136" s="24" t="str">
        <f aca="false">IF(B136="","",IFERROR(INDEX('Start here'!$C$16:$C$20,MATCH(B136,'Start here'!$B$16:$B$20,0)),"Check vehicle"))</f>
        <v/>
      </c>
      <c r="I136" s="25" t="str">
        <f aca="false">IF(OR(F136="",H136&lt;&gt;"Car or van"),"",SUMIFS($F$6:F136,$H$6:H136,"Car or van"))</f>
        <v/>
      </c>
      <c r="J136" s="24" t="str">
        <f aca="false">IF(F136="","",IF(H136="Car or van",IF(O136=0,TEXT(INDEX('Notes and sources'!$C$6:$D$6,1,'Start here'!$C$11)*100,"0")&amp;"p",IF(N136=0,TEXT(INDEX('Notes and sources'!$C$7:$D$7,1,'Start here'!$C$11)*100,"0")&amp;"p",TEXT(INDEX('Notes and sources'!$C$6:$D$6,1,'Start here'!$C$11)*100,"0")&amp;"p/"&amp;TEXT(INDEX('Notes and sources'!$C$7:$D$7,1,'Start here'!$C$11)*100,"0")&amp;"p")),IF(H136="Motorcycle",TEXT(INDEX('Notes and sources'!$C$8:$D$8,1,'Start here'!$C$11)*100,"0")&amp;"p",IF(H136="Bicycle",TEXT(INDEX('Notes and sources'!$C$9:$D$9,1,'Start here'!$C$11)*100,"0")&amp;"p",""))))</f>
        <v/>
      </c>
      <c r="K136" s="26" t="str">
        <f aca="false">IF(F136="","",ROUND(IF(H136="Car or van",N136*INDEX('Notes and sources'!$C$6:$D$6,1,'Start here'!$C$11)+O136*INDEX('Notes and sources'!$C$7:$D$7,1,'Start here'!$C$11)+N(G136)*N(F136)*INDEX('Notes and sources'!$C$10:$D$10,1,'Start here'!$C$11),IF(H136="Motorcycle",N(F136)*INDEX('Notes and sources'!$C$8:$D$8,1,'Start here'!$C$11),IF(H136="Bicycle",N(F136)*INDEX('Notes and sources'!$C$9:$D$9,1,'Start here'!$C$11),0))),2))</f>
        <v/>
      </c>
      <c r="L136" s="27"/>
      <c r="N136" s="2" t="n">
        <f aca="false">IF(I136="",0,MAX(0,MIN(N(F136),INDEX('Notes and sources'!$C$12:$D$12,1,'Start here'!$C$11)-(I136-N(F136)))))</f>
        <v>0</v>
      </c>
      <c r="O136" s="2" t="n">
        <f aca="false">IF(I136="",0,N(F136)-N136)</f>
        <v>0</v>
      </c>
      <c r="P136" s="2" t="str">
        <f aca="false">IF(A136="","",IF(AND(MONTH(A136)=4,DAY(A136)&lt;6),13,MOD(MONTH(A136)-4,12)+1))</f>
        <v/>
      </c>
    </row>
    <row r="137" customFormat="false" ht="15" hidden="false" customHeight="false" outlineLevel="0" collapsed="false">
      <c r="A137" s="21"/>
      <c r="B137" s="6"/>
      <c r="C137" s="6"/>
      <c r="D137" s="6"/>
      <c r="E137" s="6"/>
      <c r="F137" s="22"/>
      <c r="G137" s="23"/>
      <c r="H137" s="24" t="str">
        <f aca="false">IF(B137="","",IFERROR(INDEX('Start here'!$C$16:$C$20,MATCH(B137,'Start here'!$B$16:$B$20,0)),"Check vehicle"))</f>
        <v/>
      </c>
      <c r="I137" s="25" t="str">
        <f aca="false">IF(OR(F137="",H137&lt;&gt;"Car or van"),"",SUMIFS($F$6:F137,$H$6:H137,"Car or van"))</f>
        <v/>
      </c>
      <c r="J137" s="24" t="str">
        <f aca="false">IF(F137="","",IF(H137="Car or van",IF(O137=0,TEXT(INDEX('Notes and sources'!$C$6:$D$6,1,'Start here'!$C$11)*100,"0")&amp;"p",IF(N137=0,TEXT(INDEX('Notes and sources'!$C$7:$D$7,1,'Start here'!$C$11)*100,"0")&amp;"p",TEXT(INDEX('Notes and sources'!$C$6:$D$6,1,'Start here'!$C$11)*100,"0")&amp;"p/"&amp;TEXT(INDEX('Notes and sources'!$C$7:$D$7,1,'Start here'!$C$11)*100,"0")&amp;"p")),IF(H137="Motorcycle",TEXT(INDEX('Notes and sources'!$C$8:$D$8,1,'Start here'!$C$11)*100,"0")&amp;"p",IF(H137="Bicycle",TEXT(INDEX('Notes and sources'!$C$9:$D$9,1,'Start here'!$C$11)*100,"0")&amp;"p",""))))</f>
        <v/>
      </c>
      <c r="K137" s="26" t="str">
        <f aca="false">IF(F137="","",ROUND(IF(H137="Car or van",N137*INDEX('Notes and sources'!$C$6:$D$6,1,'Start here'!$C$11)+O137*INDEX('Notes and sources'!$C$7:$D$7,1,'Start here'!$C$11)+N(G137)*N(F137)*INDEX('Notes and sources'!$C$10:$D$10,1,'Start here'!$C$11),IF(H137="Motorcycle",N(F137)*INDEX('Notes and sources'!$C$8:$D$8,1,'Start here'!$C$11),IF(H137="Bicycle",N(F137)*INDEX('Notes and sources'!$C$9:$D$9,1,'Start here'!$C$11),0))),2))</f>
        <v/>
      </c>
      <c r="L137" s="27"/>
      <c r="N137" s="2" t="n">
        <f aca="false">IF(I137="",0,MAX(0,MIN(N(F137),INDEX('Notes and sources'!$C$12:$D$12,1,'Start here'!$C$11)-(I137-N(F137)))))</f>
        <v>0</v>
      </c>
      <c r="O137" s="2" t="n">
        <f aca="false">IF(I137="",0,N(F137)-N137)</f>
        <v>0</v>
      </c>
      <c r="P137" s="2" t="str">
        <f aca="false">IF(A137="","",IF(AND(MONTH(A137)=4,DAY(A137)&lt;6),13,MOD(MONTH(A137)-4,12)+1))</f>
        <v/>
      </c>
    </row>
    <row r="138" customFormat="false" ht="15" hidden="false" customHeight="false" outlineLevel="0" collapsed="false">
      <c r="A138" s="21"/>
      <c r="B138" s="6"/>
      <c r="C138" s="6"/>
      <c r="D138" s="6"/>
      <c r="E138" s="6"/>
      <c r="F138" s="22"/>
      <c r="G138" s="23"/>
      <c r="H138" s="24" t="str">
        <f aca="false">IF(B138="","",IFERROR(INDEX('Start here'!$C$16:$C$20,MATCH(B138,'Start here'!$B$16:$B$20,0)),"Check vehicle"))</f>
        <v/>
      </c>
      <c r="I138" s="25" t="str">
        <f aca="false">IF(OR(F138="",H138&lt;&gt;"Car or van"),"",SUMIFS($F$6:F138,$H$6:H138,"Car or van"))</f>
        <v/>
      </c>
      <c r="J138" s="24" t="str">
        <f aca="false">IF(F138="","",IF(H138="Car or van",IF(O138=0,TEXT(INDEX('Notes and sources'!$C$6:$D$6,1,'Start here'!$C$11)*100,"0")&amp;"p",IF(N138=0,TEXT(INDEX('Notes and sources'!$C$7:$D$7,1,'Start here'!$C$11)*100,"0")&amp;"p",TEXT(INDEX('Notes and sources'!$C$6:$D$6,1,'Start here'!$C$11)*100,"0")&amp;"p/"&amp;TEXT(INDEX('Notes and sources'!$C$7:$D$7,1,'Start here'!$C$11)*100,"0")&amp;"p")),IF(H138="Motorcycle",TEXT(INDEX('Notes and sources'!$C$8:$D$8,1,'Start here'!$C$11)*100,"0")&amp;"p",IF(H138="Bicycle",TEXT(INDEX('Notes and sources'!$C$9:$D$9,1,'Start here'!$C$11)*100,"0")&amp;"p",""))))</f>
        <v/>
      </c>
      <c r="K138" s="26" t="str">
        <f aca="false">IF(F138="","",ROUND(IF(H138="Car or van",N138*INDEX('Notes and sources'!$C$6:$D$6,1,'Start here'!$C$11)+O138*INDEX('Notes and sources'!$C$7:$D$7,1,'Start here'!$C$11)+N(G138)*N(F138)*INDEX('Notes and sources'!$C$10:$D$10,1,'Start here'!$C$11),IF(H138="Motorcycle",N(F138)*INDEX('Notes and sources'!$C$8:$D$8,1,'Start here'!$C$11),IF(H138="Bicycle",N(F138)*INDEX('Notes and sources'!$C$9:$D$9,1,'Start here'!$C$11),0))),2))</f>
        <v/>
      </c>
      <c r="L138" s="27"/>
      <c r="N138" s="2" t="n">
        <f aca="false">IF(I138="",0,MAX(0,MIN(N(F138),INDEX('Notes and sources'!$C$12:$D$12,1,'Start here'!$C$11)-(I138-N(F138)))))</f>
        <v>0</v>
      </c>
      <c r="O138" s="2" t="n">
        <f aca="false">IF(I138="",0,N(F138)-N138)</f>
        <v>0</v>
      </c>
      <c r="P138" s="2" t="str">
        <f aca="false">IF(A138="","",IF(AND(MONTH(A138)=4,DAY(A138)&lt;6),13,MOD(MONTH(A138)-4,12)+1))</f>
        <v/>
      </c>
    </row>
    <row r="139" customFormat="false" ht="15" hidden="false" customHeight="false" outlineLevel="0" collapsed="false">
      <c r="A139" s="21"/>
      <c r="B139" s="6"/>
      <c r="C139" s="6"/>
      <c r="D139" s="6"/>
      <c r="E139" s="6"/>
      <c r="F139" s="22"/>
      <c r="G139" s="23"/>
      <c r="H139" s="24" t="str">
        <f aca="false">IF(B139="","",IFERROR(INDEX('Start here'!$C$16:$C$20,MATCH(B139,'Start here'!$B$16:$B$20,0)),"Check vehicle"))</f>
        <v/>
      </c>
      <c r="I139" s="25" t="str">
        <f aca="false">IF(OR(F139="",H139&lt;&gt;"Car or van"),"",SUMIFS($F$6:F139,$H$6:H139,"Car or van"))</f>
        <v/>
      </c>
      <c r="J139" s="24" t="str">
        <f aca="false">IF(F139="","",IF(H139="Car or van",IF(O139=0,TEXT(INDEX('Notes and sources'!$C$6:$D$6,1,'Start here'!$C$11)*100,"0")&amp;"p",IF(N139=0,TEXT(INDEX('Notes and sources'!$C$7:$D$7,1,'Start here'!$C$11)*100,"0")&amp;"p",TEXT(INDEX('Notes and sources'!$C$6:$D$6,1,'Start here'!$C$11)*100,"0")&amp;"p/"&amp;TEXT(INDEX('Notes and sources'!$C$7:$D$7,1,'Start here'!$C$11)*100,"0")&amp;"p")),IF(H139="Motorcycle",TEXT(INDEX('Notes and sources'!$C$8:$D$8,1,'Start here'!$C$11)*100,"0")&amp;"p",IF(H139="Bicycle",TEXT(INDEX('Notes and sources'!$C$9:$D$9,1,'Start here'!$C$11)*100,"0")&amp;"p",""))))</f>
        <v/>
      </c>
      <c r="K139" s="26" t="str">
        <f aca="false">IF(F139="","",ROUND(IF(H139="Car or van",N139*INDEX('Notes and sources'!$C$6:$D$6,1,'Start here'!$C$11)+O139*INDEX('Notes and sources'!$C$7:$D$7,1,'Start here'!$C$11)+N(G139)*N(F139)*INDEX('Notes and sources'!$C$10:$D$10,1,'Start here'!$C$11),IF(H139="Motorcycle",N(F139)*INDEX('Notes and sources'!$C$8:$D$8,1,'Start here'!$C$11),IF(H139="Bicycle",N(F139)*INDEX('Notes and sources'!$C$9:$D$9,1,'Start here'!$C$11),0))),2))</f>
        <v/>
      </c>
      <c r="L139" s="27"/>
      <c r="N139" s="2" t="n">
        <f aca="false">IF(I139="",0,MAX(0,MIN(N(F139),INDEX('Notes and sources'!$C$12:$D$12,1,'Start here'!$C$11)-(I139-N(F139)))))</f>
        <v>0</v>
      </c>
      <c r="O139" s="2" t="n">
        <f aca="false">IF(I139="",0,N(F139)-N139)</f>
        <v>0</v>
      </c>
      <c r="P139" s="2" t="str">
        <f aca="false">IF(A139="","",IF(AND(MONTH(A139)=4,DAY(A139)&lt;6),13,MOD(MONTH(A139)-4,12)+1))</f>
        <v/>
      </c>
    </row>
    <row r="140" customFormat="false" ht="15" hidden="false" customHeight="false" outlineLevel="0" collapsed="false">
      <c r="A140" s="21"/>
      <c r="B140" s="6"/>
      <c r="C140" s="6"/>
      <c r="D140" s="6"/>
      <c r="E140" s="6"/>
      <c r="F140" s="22"/>
      <c r="G140" s="23"/>
      <c r="H140" s="24" t="str">
        <f aca="false">IF(B140="","",IFERROR(INDEX('Start here'!$C$16:$C$20,MATCH(B140,'Start here'!$B$16:$B$20,0)),"Check vehicle"))</f>
        <v/>
      </c>
      <c r="I140" s="25" t="str">
        <f aca="false">IF(OR(F140="",H140&lt;&gt;"Car or van"),"",SUMIFS($F$6:F140,$H$6:H140,"Car or van"))</f>
        <v/>
      </c>
      <c r="J140" s="24" t="str">
        <f aca="false">IF(F140="","",IF(H140="Car or van",IF(O140=0,TEXT(INDEX('Notes and sources'!$C$6:$D$6,1,'Start here'!$C$11)*100,"0")&amp;"p",IF(N140=0,TEXT(INDEX('Notes and sources'!$C$7:$D$7,1,'Start here'!$C$11)*100,"0")&amp;"p",TEXT(INDEX('Notes and sources'!$C$6:$D$6,1,'Start here'!$C$11)*100,"0")&amp;"p/"&amp;TEXT(INDEX('Notes and sources'!$C$7:$D$7,1,'Start here'!$C$11)*100,"0")&amp;"p")),IF(H140="Motorcycle",TEXT(INDEX('Notes and sources'!$C$8:$D$8,1,'Start here'!$C$11)*100,"0")&amp;"p",IF(H140="Bicycle",TEXT(INDEX('Notes and sources'!$C$9:$D$9,1,'Start here'!$C$11)*100,"0")&amp;"p",""))))</f>
        <v/>
      </c>
      <c r="K140" s="26" t="str">
        <f aca="false">IF(F140="","",ROUND(IF(H140="Car or van",N140*INDEX('Notes and sources'!$C$6:$D$6,1,'Start here'!$C$11)+O140*INDEX('Notes and sources'!$C$7:$D$7,1,'Start here'!$C$11)+N(G140)*N(F140)*INDEX('Notes and sources'!$C$10:$D$10,1,'Start here'!$C$11),IF(H140="Motorcycle",N(F140)*INDEX('Notes and sources'!$C$8:$D$8,1,'Start here'!$C$11),IF(H140="Bicycle",N(F140)*INDEX('Notes and sources'!$C$9:$D$9,1,'Start here'!$C$11),0))),2))</f>
        <v/>
      </c>
      <c r="L140" s="27"/>
      <c r="N140" s="2" t="n">
        <f aca="false">IF(I140="",0,MAX(0,MIN(N(F140),INDEX('Notes and sources'!$C$12:$D$12,1,'Start here'!$C$11)-(I140-N(F140)))))</f>
        <v>0</v>
      </c>
      <c r="O140" s="2" t="n">
        <f aca="false">IF(I140="",0,N(F140)-N140)</f>
        <v>0</v>
      </c>
      <c r="P140" s="2" t="str">
        <f aca="false">IF(A140="","",IF(AND(MONTH(A140)=4,DAY(A140)&lt;6),13,MOD(MONTH(A140)-4,12)+1))</f>
        <v/>
      </c>
    </row>
    <row r="141" customFormat="false" ht="15" hidden="false" customHeight="false" outlineLevel="0" collapsed="false">
      <c r="A141" s="21"/>
      <c r="B141" s="6"/>
      <c r="C141" s="6"/>
      <c r="D141" s="6"/>
      <c r="E141" s="6"/>
      <c r="F141" s="22"/>
      <c r="G141" s="23"/>
      <c r="H141" s="24" t="str">
        <f aca="false">IF(B141="","",IFERROR(INDEX('Start here'!$C$16:$C$20,MATCH(B141,'Start here'!$B$16:$B$20,0)),"Check vehicle"))</f>
        <v/>
      </c>
      <c r="I141" s="25" t="str">
        <f aca="false">IF(OR(F141="",H141&lt;&gt;"Car or van"),"",SUMIFS($F$6:F141,$H$6:H141,"Car or van"))</f>
        <v/>
      </c>
      <c r="J141" s="24" t="str">
        <f aca="false">IF(F141="","",IF(H141="Car or van",IF(O141=0,TEXT(INDEX('Notes and sources'!$C$6:$D$6,1,'Start here'!$C$11)*100,"0")&amp;"p",IF(N141=0,TEXT(INDEX('Notes and sources'!$C$7:$D$7,1,'Start here'!$C$11)*100,"0")&amp;"p",TEXT(INDEX('Notes and sources'!$C$6:$D$6,1,'Start here'!$C$11)*100,"0")&amp;"p/"&amp;TEXT(INDEX('Notes and sources'!$C$7:$D$7,1,'Start here'!$C$11)*100,"0")&amp;"p")),IF(H141="Motorcycle",TEXT(INDEX('Notes and sources'!$C$8:$D$8,1,'Start here'!$C$11)*100,"0")&amp;"p",IF(H141="Bicycle",TEXT(INDEX('Notes and sources'!$C$9:$D$9,1,'Start here'!$C$11)*100,"0")&amp;"p",""))))</f>
        <v/>
      </c>
      <c r="K141" s="26" t="str">
        <f aca="false">IF(F141="","",ROUND(IF(H141="Car or van",N141*INDEX('Notes and sources'!$C$6:$D$6,1,'Start here'!$C$11)+O141*INDEX('Notes and sources'!$C$7:$D$7,1,'Start here'!$C$11)+N(G141)*N(F141)*INDEX('Notes and sources'!$C$10:$D$10,1,'Start here'!$C$11),IF(H141="Motorcycle",N(F141)*INDEX('Notes and sources'!$C$8:$D$8,1,'Start here'!$C$11),IF(H141="Bicycle",N(F141)*INDEX('Notes and sources'!$C$9:$D$9,1,'Start here'!$C$11),0))),2))</f>
        <v/>
      </c>
      <c r="L141" s="27"/>
      <c r="N141" s="2" t="n">
        <f aca="false">IF(I141="",0,MAX(0,MIN(N(F141),INDEX('Notes and sources'!$C$12:$D$12,1,'Start here'!$C$11)-(I141-N(F141)))))</f>
        <v>0</v>
      </c>
      <c r="O141" s="2" t="n">
        <f aca="false">IF(I141="",0,N(F141)-N141)</f>
        <v>0</v>
      </c>
      <c r="P141" s="2" t="str">
        <f aca="false">IF(A141="","",IF(AND(MONTH(A141)=4,DAY(A141)&lt;6),13,MOD(MONTH(A141)-4,12)+1))</f>
        <v/>
      </c>
    </row>
    <row r="142" customFormat="false" ht="15" hidden="false" customHeight="false" outlineLevel="0" collapsed="false">
      <c r="A142" s="21"/>
      <c r="B142" s="6"/>
      <c r="C142" s="6"/>
      <c r="D142" s="6"/>
      <c r="E142" s="6"/>
      <c r="F142" s="22"/>
      <c r="G142" s="23"/>
      <c r="H142" s="24" t="str">
        <f aca="false">IF(B142="","",IFERROR(INDEX('Start here'!$C$16:$C$20,MATCH(B142,'Start here'!$B$16:$B$20,0)),"Check vehicle"))</f>
        <v/>
      </c>
      <c r="I142" s="25" t="str">
        <f aca="false">IF(OR(F142="",H142&lt;&gt;"Car or van"),"",SUMIFS($F$6:F142,$H$6:H142,"Car or van"))</f>
        <v/>
      </c>
      <c r="J142" s="24" t="str">
        <f aca="false">IF(F142="","",IF(H142="Car or van",IF(O142=0,TEXT(INDEX('Notes and sources'!$C$6:$D$6,1,'Start here'!$C$11)*100,"0")&amp;"p",IF(N142=0,TEXT(INDEX('Notes and sources'!$C$7:$D$7,1,'Start here'!$C$11)*100,"0")&amp;"p",TEXT(INDEX('Notes and sources'!$C$6:$D$6,1,'Start here'!$C$11)*100,"0")&amp;"p/"&amp;TEXT(INDEX('Notes and sources'!$C$7:$D$7,1,'Start here'!$C$11)*100,"0")&amp;"p")),IF(H142="Motorcycle",TEXT(INDEX('Notes and sources'!$C$8:$D$8,1,'Start here'!$C$11)*100,"0")&amp;"p",IF(H142="Bicycle",TEXT(INDEX('Notes and sources'!$C$9:$D$9,1,'Start here'!$C$11)*100,"0")&amp;"p",""))))</f>
        <v/>
      </c>
      <c r="K142" s="26" t="str">
        <f aca="false">IF(F142="","",ROUND(IF(H142="Car or van",N142*INDEX('Notes and sources'!$C$6:$D$6,1,'Start here'!$C$11)+O142*INDEX('Notes and sources'!$C$7:$D$7,1,'Start here'!$C$11)+N(G142)*N(F142)*INDEX('Notes and sources'!$C$10:$D$10,1,'Start here'!$C$11),IF(H142="Motorcycle",N(F142)*INDEX('Notes and sources'!$C$8:$D$8,1,'Start here'!$C$11),IF(H142="Bicycle",N(F142)*INDEX('Notes and sources'!$C$9:$D$9,1,'Start here'!$C$11),0))),2))</f>
        <v/>
      </c>
      <c r="L142" s="27"/>
      <c r="N142" s="2" t="n">
        <f aca="false">IF(I142="",0,MAX(0,MIN(N(F142),INDEX('Notes and sources'!$C$12:$D$12,1,'Start here'!$C$11)-(I142-N(F142)))))</f>
        <v>0</v>
      </c>
      <c r="O142" s="2" t="n">
        <f aca="false">IF(I142="",0,N(F142)-N142)</f>
        <v>0</v>
      </c>
      <c r="P142" s="2" t="str">
        <f aca="false">IF(A142="","",IF(AND(MONTH(A142)=4,DAY(A142)&lt;6),13,MOD(MONTH(A142)-4,12)+1))</f>
        <v/>
      </c>
    </row>
    <row r="143" customFormat="false" ht="15" hidden="false" customHeight="false" outlineLevel="0" collapsed="false">
      <c r="A143" s="21"/>
      <c r="B143" s="6"/>
      <c r="C143" s="6"/>
      <c r="D143" s="6"/>
      <c r="E143" s="6"/>
      <c r="F143" s="22"/>
      <c r="G143" s="23"/>
      <c r="H143" s="24" t="str">
        <f aca="false">IF(B143="","",IFERROR(INDEX('Start here'!$C$16:$C$20,MATCH(B143,'Start here'!$B$16:$B$20,0)),"Check vehicle"))</f>
        <v/>
      </c>
      <c r="I143" s="25" t="str">
        <f aca="false">IF(OR(F143="",H143&lt;&gt;"Car or van"),"",SUMIFS($F$6:F143,$H$6:H143,"Car or van"))</f>
        <v/>
      </c>
      <c r="J143" s="24" t="str">
        <f aca="false">IF(F143="","",IF(H143="Car or van",IF(O143=0,TEXT(INDEX('Notes and sources'!$C$6:$D$6,1,'Start here'!$C$11)*100,"0")&amp;"p",IF(N143=0,TEXT(INDEX('Notes and sources'!$C$7:$D$7,1,'Start here'!$C$11)*100,"0")&amp;"p",TEXT(INDEX('Notes and sources'!$C$6:$D$6,1,'Start here'!$C$11)*100,"0")&amp;"p/"&amp;TEXT(INDEX('Notes and sources'!$C$7:$D$7,1,'Start here'!$C$11)*100,"0")&amp;"p")),IF(H143="Motorcycle",TEXT(INDEX('Notes and sources'!$C$8:$D$8,1,'Start here'!$C$11)*100,"0")&amp;"p",IF(H143="Bicycle",TEXT(INDEX('Notes and sources'!$C$9:$D$9,1,'Start here'!$C$11)*100,"0")&amp;"p",""))))</f>
        <v/>
      </c>
      <c r="K143" s="26" t="str">
        <f aca="false">IF(F143="","",ROUND(IF(H143="Car or van",N143*INDEX('Notes and sources'!$C$6:$D$6,1,'Start here'!$C$11)+O143*INDEX('Notes and sources'!$C$7:$D$7,1,'Start here'!$C$11)+N(G143)*N(F143)*INDEX('Notes and sources'!$C$10:$D$10,1,'Start here'!$C$11),IF(H143="Motorcycle",N(F143)*INDEX('Notes and sources'!$C$8:$D$8,1,'Start here'!$C$11),IF(H143="Bicycle",N(F143)*INDEX('Notes and sources'!$C$9:$D$9,1,'Start here'!$C$11),0))),2))</f>
        <v/>
      </c>
      <c r="L143" s="27"/>
      <c r="N143" s="2" t="n">
        <f aca="false">IF(I143="",0,MAX(0,MIN(N(F143),INDEX('Notes and sources'!$C$12:$D$12,1,'Start here'!$C$11)-(I143-N(F143)))))</f>
        <v>0</v>
      </c>
      <c r="O143" s="2" t="n">
        <f aca="false">IF(I143="",0,N(F143)-N143)</f>
        <v>0</v>
      </c>
      <c r="P143" s="2" t="str">
        <f aca="false">IF(A143="","",IF(AND(MONTH(A143)=4,DAY(A143)&lt;6),13,MOD(MONTH(A143)-4,12)+1))</f>
        <v/>
      </c>
    </row>
    <row r="144" customFormat="false" ht="15" hidden="false" customHeight="false" outlineLevel="0" collapsed="false">
      <c r="A144" s="21"/>
      <c r="B144" s="6"/>
      <c r="C144" s="6"/>
      <c r="D144" s="6"/>
      <c r="E144" s="6"/>
      <c r="F144" s="22"/>
      <c r="G144" s="23"/>
      <c r="H144" s="24" t="str">
        <f aca="false">IF(B144="","",IFERROR(INDEX('Start here'!$C$16:$C$20,MATCH(B144,'Start here'!$B$16:$B$20,0)),"Check vehicle"))</f>
        <v/>
      </c>
      <c r="I144" s="25" t="str">
        <f aca="false">IF(OR(F144="",H144&lt;&gt;"Car or van"),"",SUMIFS($F$6:F144,$H$6:H144,"Car or van"))</f>
        <v/>
      </c>
      <c r="J144" s="24" t="str">
        <f aca="false">IF(F144="","",IF(H144="Car or van",IF(O144=0,TEXT(INDEX('Notes and sources'!$C$6:$D$6,1,'Start here'!$C$11)*100,"0")&amp;"p",IF(N144=0,TEXT(INDEX('Notes and sources'!$C$7:$D$7,1,'Start here'!$C$11)*100,"0")&amp;"p",TEXT(INDEX('Notes and sources'!$C$6:$D$6,1,'Start here'!$C$11)*100,"0")&amp;"p/"&amp;TEXT(INDEX('Notes and sources'!$C$7:$D$7,1,'Start here'!$C$11)*100,"0")&amp;"p")),IF(H144="Motorcycle",TEXT(INDEX('Notes and sources'!$C$8:$D$8,1,'Start here'!$C$11)*100,"0")&amp;"p",IF(H144="Bicycle",TEXT(INDEX('Notes and sources'!$C$9:$D$9,1,'Start here'!$C$11)*100,"0")&amp;"p",""))))</f>
        <v/>
      </c>
      <c r="K144" s="26" t="str">
        <f aca="false">IF(F144="","",ROUND(IF(H144="Car or van",N144*INDEX('Notes and sources'!$C$6:$D$6,1,'Start here'!$C$11)+O144*INDEX('Notes and sources'!$C$7:$D$7,1,'Start here'!$C$11)+N(G144)*N(F144)*INDEX('Notes and sources'!$C$10:$D$10,1,'Start here'!$C$11),IF(H144="Motorcycle",N(F144)*INDEX('Notes and sources'!$C$8:$D$8,1,'Start here'!$C$11),IF(H144="Bicycle",N(F144)*INDEX('Notes and sources'!$C$9:$D$9,1,'Start here'!$C$11),0))),2))</f>
        <v/>
      </c>
      <c r="L144" s="27"/>
      <c r="N144" s="2" t="n">
        <f aca="false">IF(I144="",0,MAX(0,MIN(N(F144),INDEX('Notes and sources'!$C$12:$D$12,1,'Start here'!$C$11)-(I144-N(F144)))))</f>
        <v>0</v>
      </c>
      <c r="O144" s="2" t="n">
        <f aca="false">IF(I144="",0,N(F144)-N144)</f>
        <v>0</v>
      </c>
      <c r="P144" s="2" t="str">
        <f aca="false">IF(A144="","",IF(AND(MONTH(A144)=4,DAY(A144)&lt;6),13,MOD(MONTH(A144)-4,12)+1))</f>
        <v/>
      </c>
    </row>
    <row r="145" customFormat="false" ht="15" hidden="false" customHeight="false" outlineLevel="0" collapsed="false">
      <c r="A145" s="21"/>
      <c r="B145" s="6"/>
      <c r="C145" s="6"/>
      <c r="D145" s="6"/>
      <c r="E145" s="6"/>
      <c r="F145" s="22"/>
      <c r="G145" s="23"/>
      <c r="H145" s="24" t="str">
        <f aca="false">IF(B145="","",IFERROR(INDEX('Start here'!$C$16:$C$20,MATCH(B145,'Start here'!$B$16:$B$20,0)),"Check vehicle"))</f>
        <v/>
      </c>
      <c r="I145" s="25" t="str">
        <f aca="false">IF(OR(F145="",H145&lt;&gt;"Car or van"),"",SUMIFS($F$6:F145,$H$6:H145,"Car or van"))</f>
        <v/>
      </c>
      <c r="J145" s="24" t="str">
        <f aca="false">IF(F145="","",IF(H145="Car or van",IF(O145=0,TEXT(INDEX('Notes and sources'!$C$6:$D$6,1,'Start here'!$C$11)*100,"0")&amp;"p",IF(N145=0,TEXT(INDEX('Notes and sources'!$C$7:$D$7,1,'Start here'!$C$11)*100,"0")&amp;"p",TEXT(INDEX('Notes and sources'!$C$6:$D$6,1,'Start here'!$C$11)*100,"0")&amp;"p/"&amp;TEXT(INDEX('Notes and sources'!$C$7:$D$7,1,'Start here'!$C$11)*100,"0")&amp;"p")),IF(H145="Motorcycle",TEXT(INDEX('Notes and sources'!$C$8:$D$8,1,'Start here'!$C$11)*100,"0")&amp;"p",IF(H145="Bicycle",TEXT(INDEX('Notes and sources'!$C$9:$D$9,1,'Start here'!$C$11)*100,"0")&amp;"p",""))))</f>
        <v/>
      </c>
      <c r="K145" s="26" t="str">
        <f aca="false">IF(F145="","",ROUND(IF(H145="Car or van",N145*INDEX('Notes and sources'!$C$6:$D$6,1,'Start here'!$C$11)+O145*INDEX('Notes and sources'!$C$7:$D$7,1,'Start here'!$C$11)+N(G145)*N(F145)*INDEX('Notes and sources'!$C$10:$D$10,1,'Start here'!$C$11),IF(H145="Motorcycle",N(F145)*INDEX('Notes and sources'!$C$8:$D$8,1,'Start here'!$C$11),IF(H145="Bicycle",N(F145)*INDEX('Notes and sources'!$C$9:$D$9,1,'Start here'!$C$11),0))),2))</f>
        <v/>
      </c>
      <c r="L145" s="27"/>
      <c r="N145" s="2" t="n">
        <f aca="false">IF(I145="",0,MAX(0,MIN(N(F145),INDEX('Notes and sources'!$C$12:$D$12,1,'Start here'!$C$11)-(I145-N(F145)))))</f>
        <v>0</v>
      </c>
      <c r="O145" s="2" t="n">
        <f aca="false">IF(I145="",0,N(F145)-N145)</f>
        <v>0</v>
      </c>
      <c r="P145" s="2" t="str">
        <f aca="false">IF(A145="","",IF(AND(MONTH(A145)=4,DAY(A145)&lt;6),13,MOD(MONTH(A145)-4,12)+1))</f>
        <v/>
      </c>
    </row>
    <row r="146" customFormat="false" ht="15" hidden="false" customHeight="false" outlineLevel="0" collapsed="false">
      <c r="A146" s="21"/>
      <c r="B146" s="6"/>
      <c r="C146" s="6"/>
      <c r="D146" s="6"/>
      <c r="E146" s="6"/>
      <c r="F146" s="22"/>
      <c r="G146" s="23"/>
      <c r="H146" s="24" t="str">
        <f aca="false">IF(B146="","",IFERROR(INDEX('Start here'!$C$16:$C$20,MATCH(B146,'Start here'!$B$16:$B$20,0)),"Check vehicle"))</f>
        <v/>
      </c>
      <c r="I146" s="25" t="str">
        <f aca="false">IF(OR(F146="",H146&lt;&gt;"Car or van"),"",SUMIFS($F$6:F146,$H$6:H146,"Car or van"))</f>
        <v/>
      </c>
      <c r="J146" s="24" t="str">
        <f aca="false">IF(F146="","",IF(H146="Car or van",IF(O146=0,TEXT(INDEX('Notes and sources'!$C$6:$D$6,1,'Start here'!$C$11)*100,"0")&amp;"p",IF(N146=0,TEXT(INDEX('Notes and sources'!$C$7:$D$7,1,'Start here'!$C$11)*100,"0")&amp;"p",TEXT(INDEX('Notes and sources'!$C$6:$D$6,1,'Start here'!$C$11)*100,"0")&amp;"p/"&amp;TEXT(INDEX('Notes and sources'!$C$7:$D$7,1,'Start here'!$C$11)*100,"0")&amp;"p")),IF(H146="Motorcycle",TEXT(INDEX('Notes and sources'!$C$8:$D$8,1,'Start here'!$C$11)*100,"0")&amp;"p",IF(H146="Bicycle",TEXT(INDEX('Notes and sources'!$C$9:$D$9,1,'Start here'!$C$11)*100,"0")&amp;"p",""))))</f>
        <v/>
      </c>
      <c r="K146" s="26" t="str">
        <f aca="false">IF(F146="","",ROUND(IF(H146="Car or van",N146*INDEX('Notes and sources'!$C$6:$D$6,1,'Start here'!$C$11)+O146*INDEX('Notes and sources'!$C$7:$D$7,1,'Start here'!$C$11)+N(G146)*N(F146)*INDEX('Notes and sources'!$C$10:$D$10,1,'Start here'!$C$11),IF(H146="Motorcycle",N(F146)*INDEX('Notes and sources'!$C$8:$D$8,1,'Start here'!$C$11),IF(H146="Bicycle",N(F146)*INDEX('Notes and sources'!$C$9:$D$9,1,'Start here'!$C$11),0))),2))</f>
        <v/>
      </c>
      <c r="L146" s="27"/>
      <c r="N146" s="2" t="n">
        <f aca="false">IF(I146="",0,MAX(0,MIN(N(F146),INDEX('Notes and sources'!$C$12:$D$12,1,'Start here'!$C$11)-(I146-N(F146)))))</f>
        <v>0</v>
      </c>
      <c r="O146" s="2" t="n">
        <f aca="false">IF(I146="",0,N(F146)-N146)</f>
        <v>0</v>
      </c>
      <c r="P146" s="2" t="str">
        <f aca="false">IF(A146="","",IF(AND(MONTH(A146)=4,DAY(A146)&lt;6),13,MOD(MONTH(A146)-4,12)+1))</f>
        <v/>
      </c>
    </row>
    <row r="147" customFormat="false" ht="15" hidden="false" customHeight="false" outlineLevel="0" collapsed="false">
      <c r="A147" s="21"/>
      <c r="B147" s="6"/>
      <c r="C147" s="6"/>
      <c r="D147" s="6"/>
      <c r="E147" s="6"/>
      <c r="F147" s="22"/>
      <c r="G147" s="23"/>
      <c r="H147" s="24" t="str">
        <f aca="false">IF(B147="","",IFERROR(INDEX('Start here'!$C$16:$C$20,MATCH(B147,'Start here'!$B$16:$B$20,0)),"Check vehicle"))</f>
        <v/>
      </c>
      <c r="I147" s="25" t="str">
        <f aca="false">IF(OR(F147="",H147&lt;&gt;"Car or van"),"",SUMIFS($F$6:F147,$H$6:H147,"Car or van"))</f>
        <v/>
      </c>
      <c r="J147" s="24" t="str">
        <f aca="false">IF(F147="","",IF(H147="Car or van",IF(O147=0,TEXT(INDEX('Notes and sources'!$C$6:$D$6,1,'Start here'!$C$11)*100,"0")&amp;"p",IF(N147=0,TEXT(INDEX('Notes and sources'!$C$7:$D$7,1,'Start here'!$C$11)*100,"0")&amp;"p",TEXT(INDEX('Notes and sources'!$C$6:$D$6,1,'Start here'!$C$11)*100,"0")&amp;"p/"&amp;TEXT(INDEX('Notes and sources'!$C$7:$D$7,1,'Start here'!$C$11)*100,"0")&amp;"p")),IF(H147="Motorcycle",TEXT(INDEX('Notes and sources'!$C$8:$D$8,1,'Start here'!$C$11)*100,"0")&amp;"p",IF(H147="Bicycle",TEXT(INDEX('Notes and sources'!$C$9:$D$9,1,'Start here'!$C$11)*100,"0")&amp;"p",""))))</f>
        <v/>
      </c>
      <c r="K147" s="26" t="str">
        <f aca="false">IF(F147="","",ROUND(IF(H147="Car or van",N147*INDEX('Notes and sources'!$C$6:$D$6,1,'Start here'!$C$11)+O147*INDEX('Notes and sources'!$C$7:$D$7,1,'Start here'!$C$11)+N(G147)*N(F147)*INDEX('Notes and sources'!$C$10:$D$10,1,'Start here'!$C$11),IF(H147="Motorcycle",N(F147)*INDEX('Notes and sources'!$C$8:$D$8,1,'Start here'!$C$11),IF(H147="Bicycle",N(F147)*INDEX('Notes and sources'!$C$9:$D$9,1,'Start here'!$C$11),0))),2))</f>
        <v/>
      </c>
      <c r="L147" s="27"/>
      <c r="N147" s="2" t="n">
        <f aca="false">IF(I147="",0,MAX(0,MIN(N(F147),INDEX('Notes and sources'!$C$12:$D$12,1,'Start here'!$C$11)-(I147-N(F147)))))</f>
        <v>0</v>
      </c>
      <c r="O147" s="2" t="n">
        <f aca="false">IF(I147="",0,N(F147)-N147)</f>
        <v>0</v>
      </c>
      <c r="P147" s="2" t="str">
        <f aca="false">IF(A147="","",IF(AND(MONTH(A147)=4,DAY(A147)&lt;6),13,MOD(MONTH(A147)-4,12)+1))</f>
        <v/>
      </c>
    </row>
    <row r="148" customFormat="false" ht="15" hidden="false" customHeight="false" outlineLevel="0" collapsed="false">
      <c r="A148" s="21"/>
      <c r="B148" s="6"/>
      <c r="C148" s="6"/>
      <c r="D148" s="6"/>
      <c r="E148" s="6"/>
      <c r="F148" s="22"/>
      <c r="G148" s="23"/>
      <c r="H148" s="24" t="str">
        <f aca="false">IF(B148="","",IFERROR(INDEX('Start here'!$C$16:$C$20,MATCH(B148,'Start here'!$B$16:$B$20,0)),"Check vehicle"))</f>
        <v/>
      </c>
      <c r="I148" s="25" t="str">
        <f aca="false">IF(OR(F148="",H148&lt;&gt;"Car or van"),"",SUMIFS($F$6:F148,$H$6:H148,"Car or van"))</f>
        <v/>
      </c>
      <c r="J148" s="24" t="str">
        <f aca="false">IF(F148="","",IF(H148="Car or van",IF(O148=0,TEXT(INDEX('Notes and sources'!$C$6:$D$6,1,'Start here'!$C$11)*100,"0")&amp;"p",IF(N148=0,TEXT(INDEX('Notes and sources'!$C$7:$D$7,1,'Start here'!$C$11)*100,"0")&amp;"p",TEXT(INDEX('Notes and sources'!$C$6:$D$6,1,'Start here'!$C$11)*100,"0")&amp;"p/"&amp;TEXT(INDEX('Notes and sources'!$C$7:$D$7,1,'Start here'!$C$11)*100,"0")&amp;"p")),IF(H148="Motorcycle",TEXT(INDEX('Notes and sources'!$C$8:$D$8,1,'Start here'!$C$11)*100,"0")&amp;"p",IF(H148="Bicycle",TEXT(INDEX('Notes and sources'!$C$9:$D$9,1,'Start here'!$C$11)*100,"0")&amp;"p",""))))</f>
        <v/>
      </c>
      <c r="K148" s="26" t="str">
        <f aca="false">IF(F148="","",ROUND(IF(H148="Car or van",N148*INDEX('Notes and sources'!$C$6:$D$6,1,'Start here'!$C$11)+O148*INDEX('Notes and sources'!$C$7:$D$7,1,'Start here'!$C$11)+N(G148)*N(F148)*INDEX('Notes and sources'!$C$10:$D$10,1,'Start here'!$C$11),IF(H148="Motorcycle",N(F148)*INDEX('Notes and sources'!$C$8:$D$8,1,'Start here'!$C$11),IF(H148="Bicycle",N(F148)*INDEX('Notes and sources'!$C$9:$D$9,1,'Start here'!$C$11),0))),2))</f>
        <v/>
      </c>
      <c r="L148" s="27"/>
      <c r="N148" s="2" t="n">
        <f aca="false">IF(I148="",0,MAX(0,MIN(N(F148),INDEX('Notes and sources'!$C$12:$D$12,1,'Start here'!$C$11)-(I148-N(F148)))))</f>
        <v>0</v>
      </c>
      <c r="O148" s="2" t="n">
        <f aca="false">IF(I148="",0,N(F148)-N148)</f>
        <v>0</v>
      </c>
      <c r="P148" s="2" t="str">
        <f aca="false">IF(A148="","",IF(AND(MONTH(A148)=4,DAY(A148)&lt;6),13,MOD(MONTH(A148)-4,12)+1))</f>
        <v/>
      </c>
    </row>
    <row r="149" customFormat="false" ht="15" hidden="false" customHeight="false" outlineLevel="0" collapsed="false">
      <c r="A149" s="21"/>
      <c r="B149" s="6"/>
      <c r="C149" s="6"/>
      <c r="D149" s="6"/>
      <c r="E149" s="6"/>
      <c r="F149" s="22"/>
      <c r="G149" s="23"/>
      <c r="H149" s="24" t="str">
        <f aca="false">IF(B149="","",IFERROR(INDEX('Start here'!$C$16:$C$20,MATCH(B149,'Start here'!$B$16:$B$20,0)),"Check vehicle"))</f>
        <v/>
      </c>
      <c r="I149" s="25" t="str">
        <f aca="false">IF(OR(F149="",H149&lt;&gt;"Car or van"),"",SUMIFS($F$6:F149,$H$6:H149,"Car or van"))</f>
        <v/>
      </c>
      <c r="J149" s="24" t="str">
        <f aca="false">IF(F149="","",IF(H149="Car or van",IF(O149=0,TEXT(INDEX('Notes and sources'!$C$6:$D$6,1,'Start here'!$C$11)*100,"0")&amp;"p",IF(N149=0,TEXT(INDEX('Notes and sources'!$C$7:$D$7,1,'Start here'!$C$11)*100,"0")&amp;"p",TEXT(INDEX('Notes and sources'!$C$6:$D$6,1,'Start here'!$C$11)*100,"0")&amp;"p/"&amp;TEXT(INDEX('Notes and sources'!$C$7:$D$7,1,'Start here'!$C$11)*100,"0")&amp;"p")),IF(H149="Motorcycle",TEXT(INDEX('Notes and sources'!$C$8:$D$8,1,'Start here'!$C$11)*100,"0")&amp;"p",IF(H149="Bicycle",TEXT(INDEX('Notes and sources'!$C$9:$D$9,1,'Start here'!$C$11)*100,"0")&amp;"p",""))))</f>
        <v/>
      </c>
      <c r="K149" s="26" t="str">
        <f aca="false">IF(F149="","",ROUND(IF(H149="Car or van",N149*INDEX('Notes and sources'!$C$6:$D$6,1,'Start here'!$C$11)+O149*INDEX('Notes and sources'!$C$7:$D$7,1,'Start here'!$C$11)+N(G149)*N(F149)*INDEX('Notes and sources'!$C$10:$D$10,1,'Start here'!$C$11),IF(H149="Motorcycle",N(F149)*INDEX('Notes and sources'!$C$8:$D$8,1,'Start here'!$C$11),IF(H149="Bicycle",N(F149)*INDEX('Notes and sources'!$C$9:$D$9,1,'Start here'!$C$11),0))),2))</f>
        <v/>
      </c>
      <c r="L149" s="27"/>
      <c r="N149" s="2" t="n">
        <f aca="false">IF(I149="",0,MAX(0,MIN(N(F149),INDEX('Notes and sources'!$C$12:$D$12,1,'Start here'!$C$11)-(I149-N(F149)))))</f>
        <v>0</v>
      </c>
      <c r="O149" s="2" t="n">
        <f aca="false">IF(I149="",0,N(F149)-N149)</f>
        <v>0</v>
      </c>
      <c r="P149" s="2" t="str">
        <f aca="false">IF(A149="","",IF(AND(MONTH(A149)=4,DAY(A149)&lt;6),13,MOD(MONTH(A149)-4,12)+1))</f>
        <v/>
      </c>
    </row>
    <row r="150" customFormat="false" ht="15" hidden="false" customHeight="false" outlineLevel="0" collapsed="false">
      <c r="A150" s="21"/>
      <c r="B150" s="6"/>
      <c r="C150" s="6"/>
      <c r="D150" s="6"/>
      <c r="E150" s="6"/>
      <c r="F150" s="22"/>
      <c r="G150" s="23"/>
      <c r="H150" s="24" t="str">
        <f aca="false">IF(B150="","",IFERROR(INDEX('Start here'!$C$16:$C$20,MATCH(B150,'Start here'!$B$16:$B$20,0)),"Check vehicle"))</f>
        <v/>
      </c>
      <c r="I150" s="25" t="str">
        <f aca="false">IF(OR(F150="",H150&lt;&gt;"Car or van"),"",SUMIFS($F$6:F150,$H$6:H150,"Car or van"))</f>
        <v/>
      </c>
      <c r="J150" s="24" t="str">
        <f aca="false">IF(F150="","",IF(H150="Car or van",IF(O150=0,TEXT(INDEX('Notes and sources'!$C$6:$D$6,1,'Start here'!$C$11)*100,"0")&amp;"p",IF(N150=0,TEXT(INDEX('Notes and sources'!$C$7:$D$7,1,'Start here'!$C$11)*100,"0")&amp;"p",TEXT(INDEX('Notes and sources'!$C$6:$D$6,1,'Start here'!$C$11)*100,"0")&amp;"p/"&amp;TEXT(INDEX('Notes and sources'!$C$7:$D$7,1,'Start here'!$C$11)*100,"0")&amp;"p")),IF(H150="Motorcycle",TEXT(INDEX('Notes and sources'!$C$8:$D$8,1,'Start here'!$C$11)*100,"0")&amp;"p",IF(H150="Bicycle",TEXT(INDEX('Notes and sources'!$C$9:$D$9,1,'Start here'!$C$11)*100,"0")&amp;"p",""))))</f>
        <v/>
      </c>
      <c r="K150" s="26" t="str">
        <f aca="false">IF(F150="","",ROUND(IF(H150="Car or van",N150*INDEX('Notes and sources'!$C$6:$D$6,1,'Start here'!$C$11)+O150*INDEX('Notes and sources'!$C$7:$D$7,1,'Start here'!$C$11)+N(G150)*N(F150)*INDEX('Notes and sources'!$C$10:$D$10,1,'Start here'!$C$11),IF(H150="Motorcycle",N(F150)*INDEX('Notes and sources'!$C$8:$D$8,1,'Start here'!$C$11),IF(H150="Bicycle",N(F150)*INDEX('Notes and sources'!$C$9:$D$9,1,'Start here'!$C$11),0))),2))</f>
        <v/>
      </c>
      <c r="L150" s="27"/>
      <c r="N150" s="2" t="n">
        <f aca="false">IF(I150="",0,MAX(0,MIN(N(F150),INDEX('Notes and sources'!$C$12:$D$12,1,'Start here'!$C$11)-(I150-N(F150)))))</f>
        <v>0</v>
      </c>
      <c r="O150" s="2" t="n">
        <f aca="false">IF(I150="",0,N(F150)-N150)</f>
        <v>0</v>
      </c>
      <c r="P150" s="2" t="str">
        <f aca="false">IF(A150="","",IF(AND(MONTH(A150)=4,DAY(A150)&lt;6),13,MOD(MONTH(A150)-4,12)+1))</f>
        <v/>
      </c>
    </row>
    <row r="151" customFormat="false" ht="15" hidden="false" customHeight="false" outlineLevel="0" collapsed="false">
      <c r="A151" s="21"/>
      <c r="B151" s="6"/>
      <c r="C151" s="6"/>
      <c r="D151" s="6"/>
      <c r="E151" s="6"/>
      <c r="F151" s="22"/>
      <c r="G151" s="23"/>
      <c r="H151" s="24" t="str">
        <f aca="false">IF(B151="","",IFERROR(INDEX('Start here'!$C$16:$C$20,MATCH(B151,'Start here'!$B$16:$B$20,0)),"Check vehicle"))</f>
        <v/>
      </c>
      <c r="I151" s="25" t="str">
        <f aca="false">IF(OR(F151="",H151&lt;&gt;"Car or van"),"",SUMIFS($F$6:F151,$H$6:H151,"Car or van"))</f>
        <v/>
      </c>
      <c r="J151" s="24" t="str">
        <f aca="false">IF(F151="","",IF(H151="Car or van",IF(O151=0,TEXT(INDEX('Notes and sources'!$C$6:$D$6,1,'Start here'!$C$11)*100,"0")&amp;"p",IF(N151=0,TEXT(INDEX('Notes and sources'!$C$7:$D$7,1,'Start here'!$C$11)*100,"0")&amp;"p",TEXT(INDEX('Notes and sources'!$C$6:$D$6,1,'Start here'!$C$11)*100,"0")&amp;"p/"&amp;TEXT(INDEX('Notes and sources'!$C$7:$D$7,1,'Start here'!$C$11)*100,"0")&amp;"p")),IF(H151="Motorcycle",TEXT(INDEX('Notes and sources'!$C$8:$D$8,1,'Start here'!$C$11)*100,"0")&amp;"p",IF(H151="Bicycle",TEXT(INDEX('Notes and sources'!$C$9:$D$9,1,'Start here'!$C$11)*100,"0")&amp;"p",""))))</f>
        <v/>
      </c>
      <c r="K151" s="26" t="str">
        <f aca="false">IF(F151="","",ROUND(IF(H151="Car or van",N151*INDEX('Notes and sources'!$C$6:$D$6,1,'Start here'!$C$11)+O151*INDEX('Notes and sources'!$C$7:$D$7,1,'Start here'!$C$11)+N(G151)*N(F151)*INDEX('Notes and sources'!$C$10:$D$10,1,'Start here'!$C$11),IF(H151="Motorcycle",N(F151)*INDEX('Notes and sources'!$C$8:$D$8,1,'Start here'!$C$11),IF(H151="Bicycle",N(F151)*INDEX('Notes and sources'!$C$9:$D$9,1,'Start here'!$C$11),0))),2))</f>
        <v/>
      </c>
      <c r="L151" s="27"/>
      <c r="N151" s="2" t="n">
        <f aca="false">IF(I151="",0,MAX(0,MIN(N(F151),INDEX('Notes and sources'!$C$12:$D$12,1,'Start here'!$C$11)-(I151-N(F151)))))</f>
        <v>0</v>
      </c>
      <c r="O151" s="2" t="n">
        <f aca="false">IF(I151="",0,N(F151)-N151)</f>
        <v>0</v>
      </c>
      <c r="P151" s="2" t="str">
        <f aca="false">IF(A151="","",IF(AND(MONTH(A151)=4,DAY(A151)&lt;6),13,MOD(MONTH(A151)-4,12)+1))</f>
        <v/>
      </c>
    </row>
    <row r="152" customFormat="false" ht="15" hidden="false" customHeight="false" outlineLevel="0" collapsed="false">
      <c r="A152" s="21"/>
      <c r="B152" s="6"/>
      <c r="C152" s="6"/>
      <c r="D152" s="6"/>
      <c r="E152" s="6"/>
      <c r="F152" s="22"/>
      <c r="G152" s="23"/>
      <c r="H152" s="24" t="str">
        <f aca="false">IF(B152="","",IFERROR(INDEX('Start here'!$C$16:$C$20,MATCH(B152,'Start here'!$B$16:$B$20,0)),"Check vehicle"))</f>
        <v/>
      </c>
      <c r="I152" s="25" t="str">
        <f aca="false">IF(OR(F152="",H152&lt;&gt;"Car or van"),"",SUMIFS($F$6:F152,$H$6:H152,"Car or van"))</f>
        <v/>
      </c>
      <c r="J152" s="24" t="str">
        <f aca="false">IF(F152="","",IF(H152="Car or van",IF(O152=0,TEXT(INDEX('Notes and sources'!$C$6:$D$6,1,'Start here'!$C$11)*100,"0")&amp;"p",IF(N152=0,TEXT(INDEX('Notes and sources'!$C$7:$D$7,1,'Start here'!$C$11)*100,"0")&amp;"p",TEXT(INDEX('Notes and sources'!$C$6:$D$6,1,'Start here'!$C$11)*100,"0")&amp;"p/"&amp;TEXT(INDEX('Notes and sources'!$C$7:$D$7,1,'Start here'!$C$11)*100,"0")&amp;"p")),IF(H152="Motorcycle",TEXT(INDEX('Notes and sources'!$C$8:$D$8,1,'Start here'!$C$11)*100,"0")&amp;"p",IF(H152="Bicycle",TEXT(INDEX('Notes and sources'!$C$9:$D$9,1,'Start here'!$C$11)*100,"0")&amp;"p",""))))</f>
        <v/>
      </c>
      <c r="K152" s="26" t="str">
        <f aca="false">IF(F152="","",ROUND(IF(H152="Car or van",N152*INDEX('Notes and sources'!$C$6:$D$6,1,'Start here'!$C$11)+O152*INDEX('Notes and sources'!$C$7:$D$7,1,'Start here'!$C$11)+N(G152)*N(F152)*INDEX('Notes and sources'!$C$10:$D$10,1,'Start here'!$C$11),IF(H152="Motorcycle",N(F152)*INDEX('Notes and sources'!$C$8:$D$8,1,'Start here'!$C$11),IF(H152="Bicycle",N(F152)*INDEX('Notes and sources'!$C$9:$D$9,1,'Start here'!$C$11),0))),2))</f>
        <v/>
      </c>
      <c r="L152" s="27"/>
      <c r="N152" s="2" t="n">
        <f aca="false">IF(I152="",0,MAX(0,MIN(N(F152),INDEX('Notes and sources'!$C$12:$D$12,1,'Start here'!$C$11)-(I152-N(F152)))))</f>
        <v>0</v>
      </c>
      <c r="O152" s="2" t="n">
        <f aca="false">IF(I152="",0,N(F152)-N152)</f>
        <v>0</v>
      </c>
      <c r="P152" s="2" t="str">
        <f aca="false">IF(A152="","",IF(AND(MONTH(A152)=4,DAY(A152)&lt;6),13,MOD(MONTH(A152)-4,12)+1))</f>
        <v/>
      </c>
    </row>
    <row r="153" customFormat="false" ht="15" hidden="false" customHeight="false" outlineLevel="0" collapsed="false">
      <c r="A153" s="21"/>
      <c r="B153" s="6"/>
      <c r="C153" s="6"/>
      <c r="D153" s="6"/>
      <c r="E153" s="6"/>
      <c r="F153" s="22"/>
      <c r="G153" s="23"/>
      <c r="H153" s="24" t="str">
        <f aca="false">IF(B153="","",IFERROR(INDEX('Start here'!$C$16:$C$20,MATCH(B153,'Start here'!$B$16:$B$20,0)),"Check vehicle"))</f>
        <v/>
      </c>
      <c r="I153" s="25" t="str">
        <f aca="false">IF(OR(F153="",H153&lt;&gt;"Car or van"),"",SUMIFS($F$6:F153,$H$6:H153,"Car or van"))</f>
        <v/>
      </c>
      <c r="J153" s="24" t="str">
        <f aca="false">IF(F153="","",IF(H153="Car or van",IF(O153=0,TEXT(INDEX('Notes and sources'!$C$6:$D$6,1,'Start here'!$C$11)*100,"0")&amp;"p",IF(N153=0,TEXT(INDEX('Notes and sources'!$C$7:$D$7,1,'Start here'!$C$11)*100,"0")&amp;"p",TEXT(INDEX('Notes and sources'!$C$6:$D$6,1,'Start here'!$C$11)*100,"0")&amp;"p/"&amp;TEXT(INDEX('Notes and sources'!$C$7:$D$7,1,'Start here'!$C$11)*100,"0")&amp;"p")),IF(H153="Motorcycle",TEXT(INDEX('Notes and sources'!$C$8:$D$8,1,'Start here'!$C$11)*100,"0")&amp;"p",IF(H153="Bicycle",TEXT(INDEX('Notes and sources'!$C$9:$D$9,1,'Start here'!$C$11)*100,"0")&amp;"p",""))))</f>
        <v/>
      </c>
      <c r="K153" s="26" t="str">
        <f aca="false">IF(F153="","",ROUND(IF(H153="Car or van",N153*INDEX('Notes and sources'!$C$6:$D$6,1,'Start here'!$C$11)+O153*INDEX('Notes and sources'!$C$7:$D$7,1,'Start here'!$C$11)+N(G153)*N(F153)*INDEX('Notes and sources'!$C$10:$D$10,1,'Start here'!$C$11),IF(H153="Motorcycle",N(F153)*INDEX('Notes and sources'!$C$8:$D$8,1,'Start here'!$C$11),IF(H153="Bicycle",N(F153)*INDEX('Notes and sources'!$C$9:$D$9,1,'Start here'!$C$11),0))),2))</f>
        <v/>
      </c>
      <c r="L153" s="27"/>
      <c r="N153" s="2" t="n">
        <f aca="false">IF(I153="",0,MAX(0,MIN(N(F153),INDEX('Notes and sources'!$C$12:$D$12,1,'Start here'!$C$11)-(I153-N(F153)))))</f>
        <v>0</v>
      </c>
      <c r="O153" s="2" t="n">
        <f aca="false">IF(I153="",0,N(F153)-N153)</f>
        <v>0</v>
      </c>
      <c r="P153" s="2" t="str">
        <f aca="false">IF(A153="","",IF(AND(MONTH(A153)=4,DAY(A153)&lt;6),13,MOD(MONTH(A153)-4,12)+1))</f>
        <v/>
      </c>
    </row>
    <row r="154" customFormat="false" ht="15" hidden="false" customHeight="false" outlineLevel="0" collapsed="false">
      <c r="A154" s="21"/>
      <c r="B154" s="6"/>
      <c r="C154" s="6"/>
      <c r="D154" s="6"/>
      <c r="E154" s="6"/>
      <c r="F154" s="22"/>
      <c r="G154" s="23"/>
      <c r="H154" s="24" t="str">
        <f aca="false">IF(B154="","",IFERROR(INDEX('Start here'!$C$16:$C$20,MATCH(B154,'Start here'!$B$16:$B$20,0)),"Check vehicle"))</f>
        <v/>
      </c>
      <c r="I154" s="25" t="str">
        <f aca="false">IF(OR(F154="",H154&lt;&gt;"Car or van"),"",SUMIFS($F$6:F154,$H$6:H154,"Car or van"))</f>
        <v/>
      </c>
      <c r="J154" s="24" t="str">
        <f aca="false">IF(F154="","",IF(H154="Car or van",IF(O154=0,TEXT(INDEX('Notes and sources'!$C$6:$D$6,1,'Start here'!$C$11)*100,"0")&amp;"p",IF(N154=0,TEXT(INDEX('Notes and sources'!$C$7:$D$7,1,'Start here'!$C$11)*100,"0")&amp;"p",TEXT(INDEX('Notes and sources'!$C$6:$D$6,1,'Start here'!$C$11)*100,"0")&amp;"p/"&amp;TEXT(INDEX('Notes and sources'!$C$7:$D$7,1,'Start here'!$C$11)*100,"0")&amp;"p")),IF(H154="Motorcycle",TEXT(INDEX('Notes and sources'!$C$8:$D$8,1,'Start here'!$C$11)*100,"0")&amp;"p",IF(H154="Bicycle",TEXT(INDEX('Notes and sources'!$C$9:$D$9,1,'Start here'!$C$11)*100,"0")&amp;"p",""))))</f>
        <v/>
      </c>
      <c r="K154" s="26" t="str">
        <f aca="false">IF(F154="","",ROUND(IF(H154="Car or van",N154*INDEX('Notes and sources'!$C$6:$D$6,1,'Start here'!$C$11)+O154*INDEX('Notes and sources'!$C$7:$D$7,1,'Start here'!$C$11)+N(G154)*N(F154)*INDEX('Notes and sources'!$C$10:$D$10,1,'Start here'!$C$11),IF(H154="Motorcycle",N(F154)*INDEX('Notes and sources'!$C$8:$D$8,1,'Start here'!$C$11),IF(H154="Bicycle",N(F154)*INDEX('Notes and sources'!$C$9:$D$9,1,'Start here'!$C$11),0))),2))</f>
        <v/>
      </c>
      <c r="L154" s="27"/>
      <c r="N154" s="2" t="n">
        <f aca="false">IF(I154="",0,MAX(0,MIN(N(F154),INDEX('Notes and sources'!$C$12:$D$12,1,'Start here'!$C$11)-(I154-N(F154)))))</f>
        <v>0</v>
      </c>
      <c r="O154" s="2" t="n">
        <f aca="false">IF(I154="",0,N(F154)-N154)</f>
        <v>0</v>
      </c>
      <c r="P154" s="2" t="str">
        <f aca="false">IF(A154="","",IF(AND(MONTH(A154)=4,DAY(A154)&lt;6),13,MOD(MONTH(A154)-4,12)+1))</f>
        <v/>
      </c>
    </row>
    <row r="155" customFormat="false" ht="15" hidden="false" customHeight="false" outlineLevel="0" collapsed="false">
      <c r="A155" s="21"/>
      <c r="B155" s="6"/>
      <c r="C155" s="6"/>
      <c r="D155" s="6"/>
      <c r="E155" s="6"/>
      <c r="F155" s="22"/>
      <c r="G155" s="23"/>
      <c r="H155" s="24" t="str">
        <f aca="false">IF(B155="","",IFERROR(INDEX('Start here'!$C$16:$C$20,MATCH(B155,'Start here'!$B$16:$B$20,0)),"Check vehicle"))</f>
        <v/>
      </c>
      <c r="I155" s="25" t="str">
        <f aca="false">IF(OR(F155="",H155&lt;&gt;"Car or van"),"",SUMIFS($F$6:F155,$H$6:H155,"Car or van"))</f>
        <v/>
      </c>
      <c r="J155" s="24" t="str">
        <f aca="false">IF(F155="","",IF(H155="Car or van",IF(O155=0,TEXT(INDEX('Notes and sources'!$C$6:$D$6,1,'Start here'!$C$11)*100,"0")&amp;"p",IF(N155=0,TEXT(INDEX('Notes and sources'!$C$7:$D$7,1,'Start here'!$C$11)*100,"0")&amp;"p",TEXT(INDEX('Notes and sources'!$C$6:$D$6,1,'Start here'!$C$11)*100,"0")&amp;"p/"&amp;TEXT(INDEX('Notes and sources'!$C$7:$D$7,1,'Start here'!$C$11)*100,"0")&amp;"p")),IF(H155="Motorcycle",TEXT(INDEX('Notes and sources'!$C$8:$D$8,1,'Start here'!$C$11)*100,"0")&amp;"p",IF(H155="Bicycle",TEXT(INDEX('Notes and sources'!$C$9:$D$9,1,'Start here'!$C$11)*100,"0")&amp;"p",""))))</f>
        <v/>
      </c>
      <c r="K155" s="26" t="str">
        <f aca="false">IF(F155="","",ROUND(IF(H155="Car or van",N155*INDEX('Notes and sources'!$C$6:$D$6,1,'Start here'!$C$11)+O155*INDEX('Notes and sources'!$C$7:$D$7,1,'Start here'!$C$11)+N(G155)*N(F155)*INDEX('Notes and sources'!$C$10:$D$10,1,'Start here'!$C$11),IF(H155="Motorcycle",N(F155)*INDEX('Notes and sources'!$C$8:$D$8,1,'Start here'!$C$11),IF(H155="Bicycle",N(F155)*INDEX('Notes and sources'!$C$9:$D$9,1,'Start here'!$C$11),0))),2))</f>
        <v/>
      </c>
      <c r="L155" s="27"/>
      <c r="N155" s="2" t="n">
        <f aca="false">IF(I155="",0,MAX(0,MIN(N(F155),INDEX('Notes and sources'!$C$12:$D$12,1,'Start here'!$C$11)-(I155-N(F155)))))</f>
        <v>0</v>
      </c>
      <c r="O155" s="2" t="n">
        <f aca="false">IF(I155="",0,N(F155)-N155)</f>
        <v>0</v>
      </c>
      <c r="P155" s="2" t="str">
        <f aca="false">IF(A155="","",IF(AND(MONTH(A155)=4,DAY(A155)&lt;6),13,MOD(MONTH(A155)-4,12)+1))</f>
        <v/>
      </c>
    </row>
    <row r="156" customFormat="false" ht="15" hidden="false" customHeight="false" outlineLevel="0" collapsed="false">
      <c r="A156" s="21"/>
      <c r="B156" s="6"/>
      <c r="C156" s="6"/>
      <c r="D156" s="6"/>
      <c r="E156" s="6"/>
      <c r="F156" s="22"/>
      <c r="G156" s="23"/>
      <c r="H156" s="24" t="str">
        <f aca="false">IF(B156="","",IFERROR(INDEX('Start here'!$C$16:$C$20,MATCH(B156,'Start here'!$B$16:$B$20,0)),"Check vehicle"))</f>
        <v/>
      </c>
      <c r="I156" s="25" t="str">
        <f aca="false">IF(OR(F156="",H156&lt;&gt;"Car or van"),"",SUMIFS($F$6:F156,$H$6:H156,"Car or van"))</f>
        <v/>
      </c>
      <c r="J156" s="24" t="str">
        <f aca="false">IF(F156="","",IF(H156="Car or van",IF(O156=0,TEXT(INDEX('Notes and sources'!$C$6:$D$6,1,'Start here'!$C$11)*100,"0")&amp;"p",IF(N156=0,TEXT(INDEX('Notes and sources'!$C$7:$D$7,1,'Start here'!$C$11)*100,"0")&amp;"p",TEXT(INDEX('Notes and sources'!$C$6:$D$6,1,'Start here'!$C$11)*100,"0")&amp;"p/"&amp;TEXT(INDEX('Notes and sources'!$C$7:$D$7,1,'Start here'!$C$11)*100,"0")&amp;"p")),IF(H156="Motorcycle",TEXT(INDEX('Notes and sources'!$C$8:$D$8,1,'Start here'!$C$11)*100,"0")&amp;"p",IF(H156="Bicycle",TEXT(INDEX('Notes and sources'!$C$9:$D$9,1,'Start here'!$C$11)*100,"0")&amp;"p",""))))</f>
        <v/>
      </c>
      <c r="K156" s="26" t="str">
        <f aca="false">IF(F156="","",ROUND(IF(H156="Car or van",N156*INDEX('Notes and sources'!$C$6:$D$6,1,'Start here'!$C$11)+O156*INDEX('Notes and sources'!$C$7:$D$7,1,'Start here'!$C$11)+N(G156)*N(F156)*INDEX('Notes and sources'!$C$10:$D$10,1,'Start here'!$C$11),IF(H156="Motorcycle",N(F156)*INDEX('Notes and sources'!$C$8:$D$8,1,'Start here'!$C$11),IF(H156="Bicycle",N(F156)*INDEX('Notes and sources'!$C$9:$D$9,1,'Start here'!$C$11),0))),2))</f>
        <v/>
      </c>
      <c r="L156" s="27"/>
      <c r="N156" s="2" t="n">
        <f aca="false">IF(I156="",0,MAX(0,MIN(N(F156),INDEX('Notes and sources'!$C$12:$D$12,1,'Start here'!$C$11)-(I156-N(F156)))))</f>
        <v>0</v>
      </c>
      <c r="O156" s="2" t="n">
        <f aca="false">IF(I156="",0,N(F156)-N156)</f>
        <v>0</v>
      </c>
      <c r="P156" s="2" t="str">
        <f aca="false">IF(A156="","",IF(AND(MONTH(A156)=4,DAY(A156)&lt;6),13,MOD(MONTH(A156)-4,12)+1))</f>
        <v/>
      </c>
    </row>
    <row r="157" customFormat="false" ht="15" hidden="false" customHeight="false" outlineLevel="0" collapsed="false">
      <c r="A157" s="21"/>
      <c r="B157" s="6"/>
      <c r="C157" s="6"/>
      <c r="D157" s="6"/>
      <c r="E157" s="6"/>
      <c r="F157" s="22"/>
      <c r="G157" s="23"/>
      <c r="H157" s="24" t="str">
        <f aca="false">IF(B157="","",IFERROR(INDEX('Start here'!$C$16:$C$20,MATCH(B157,'Start here'!$B$16:$B$20,0)),"Check vehicle"))</f>
        <v/>
      </c>
      <c r="I157" s="25" t="str">
        <f aca="false">IF(OR(F157="",H157&lt;&gt;"Car or van"),"",SUMIFS($F$6:F157,$H$6:H157,"Car or van"))</f>
        <v/>
      </c>
      <c r="J157" s="24" t="str">
        <f aca="false">IF(F157="","",IF(H157="Car or van",IF(O157=0,TEXT(INDEX('Notes and sources'!$C$6:$D$6,1,'Start here'!$C$11)*100,"0")&amp;"p",IF(N157=0,TEXT(INDEX('Notes and sources'!$C$7:$D$7,1,'Start here'!$C$11)*100,"0")&amp;"p",TEXT(INDEX('Notes and sources'!$C$6:$D$6,1,'Start here'!$C$11)*100,"0")&amp;"p/"&amp;TEXT(INDEX('Notes and sources'!$C$7:$D$7,1,'Start here'!$C$11)*100,"0")&amp;"p")),IF(H157="Motorcycle",TEXT(INDEX('Notes and sources'!$C$8:$D$8,1,'Start here'!$C$11)*100,"0")&amp;"p",IF(H157="Bicycle",TEXT(INDEX('Notes and sources'!$C$9:$D$9,1,'Start here'!$C$11)*100,"0")&amp;"p",""))))</f>
        <v/>
      </c>
      <c r="K157" s="26" t="str">
        <f aca="false">IF(F157="","",ROUND(IF(H157="Car or van",N157*INDEX('Notes and sources'!$C$6:$D$6,1,'Start here'!$C$11)+O157*INDEX('Notes and sources'!$C$7:$D$7,1,'Start here'!$C$11)+N(G157)*N(F157)*INDEX('Notes and sources'!$C$10:$D$10,1,'Start here'!$C$11),IF(H157="Motorcycle",N(F157)*INDEX('Notes and sources'!$C$8:$D$8,1,'Start here'!$C$11),IF(H157="Bicycle",N(F157)*INDEX('Notes and sources'!$C$9:$D$9,1,'Start here'!$C$11),0))),2))</f>
        <v/>
      </c>
      <c r="L157" s="27"/>
      <c r="N157" s="2" t="n">
        <f aca="false">IF(I157="",0,MAX(0,MIN(N(F157),INDEX('Notes and sources'!$C$12:$D$12,1,'Start here'!$C$11)-(I157-N(F157)))))</f>
        <v>0</v>
      </c>
      <c r="O157" s="2" t="n">
        <f aca="false">IF(I157="",0,N(F157)-N157)</f>
        <v>0</v>
      </c>
      <c r="P157" s="2" t="str">
        <f aca="false">IF(A157="","",IF(AND(MONTH(A157)=4,DAY(A157)&lt;6),13,MOD(MONTH(A157)-4,12)+1))</f>
        <v/>
      </c>
    </row>
    <row r="158" customFormat="false" ht="15" hidden="false" customHeight="false" outlineLevel="0" collapsed="false">
      <c r="A158" s="21"/>
      <c r="B158" s="6"/>
      <c r="C158" s="6"/>
      <c r="D158" s="6"/>
      <c r="E158" s="6"/>
      <c r="F158" s="22"/>
      <c r="G158" s="23"/>
      <c r="H158" s="24" t="str">
        <f aca="false">IF(B158="","",IFERROR(INDEX('Start here'!$C$16:$C$20,MATCH(B158,'Start here'!$B$16:$B$20,0)),"Check vehicle"))</f>
        <v/>
      </c>
      <c r="I158" s="25" t="str">
        <f aca="false">IF(OR(F158="",H158&lt;&gt;"Car or van"),"",SUMIFS($F$6:F158,$H$6:H158,"Car or van"))</f>
        <v/>
      </c>
      <c r="J158" s="24" t="str">
        <f aca="false">IF(F158="","",IF(H158="Car or van",IF(O158=0,TEXT(INDEX('Notes and sources'!$C$6:$D$6,1,'Start here'!$C$11)*100,"0")&amp;"p",IF(N158=0,TEXT(INDEX('Notes and sources'!$C$7:$D$7,1,'Start here'!$C$11)*100,"0")&amp;"p",TEXT(INDEX('Notes and sources'!$C$6:$D$6,1,'Start here'!$C$11)*100,"0")&amp;"p/"&amp;TEXT(INDEX('Notes and sources'!$C$7:$D$7,1,'Start here'!$C$11)*100,"0")&amp;"p")),IF(H158="Motorcycle",TEXT(INDEX('Notes and sources'!$C$8:$D$8,1,'Start here'!$C$11)*100,"0")&amp;"p",IF(H158="Bicycle",TEXT(INDEX('Notes and sources'!$C$9:$D$9,1,'Start here'!$C$11)*100,"0")&amp;"p",""))))</f>
        <v/>
      </c>
      <c r="K158" s="26" t="str">
        <f aca="false">IF(F158="","",ROUND(IF(H158="Car or van",N158*INDEX('Notes and sources'!$C$6:$D$6,1,'Start here'!$C$11)+O158*INDEX('Notes and sources'!$C$7:$D$7,1,'Start here'!$C$11)+N(G158)*N(F158)*INDEX('Notes and sources'!$C$10:$D$10,1,'Start here'!$C$11),IF(H158="Motorcycle",N(F158)*INDEX('Notes and sources'!$C$8:$D$8,1,'Start here'!$C$11),IF(H158="Bicycle",N(F158)*INDEX('Notes and sources'!$C$9:$D$9,1,'Start here'!$C$11),0))),2))</f>
        <v/>
      </c>
      <c r="L158" s="27"/>
      <c r="N158" s="2" t="n">
        <f aca="false">IF(I158="",0,MAX(0,MIN(N(F158),INDEX('Notes and sources'!$C$12:$D$12,1,'Start here'!$C$11)-(I158-N(F158)))))</f>
        <v>0</v>
      </c>
      <c r="O158" s="2" t="n">
        <f aca="false">IF(I158="",0,N(F158)-N158)</f>
        <v>0</v>
      </c>
      <c r="P158" s="2" t="str">
        <f aca="false">IF(A158="","",IF(AND(MONTH(A158)=4,DAY(A158)&lt;6),13,MOD(MONTH(A158)-4,12)+1))</f>
        <v/>
      </c>
    </row>
    <row r="159" customFormat="false" ht="15" hidden="false" customHeight="false" outlineLevel="0" collapsed="false">
      <c r="A159" s="21"/>
      <c r="B159" s="6"/>
      <c r="C159" s="6"/>
      <c r="D159" s="6"/>
      <c r="E159" s="6"/>
      <c r="F159" s="22"/>
      <c r="G159" s="23"/>
      <c r="H159" s="24" t="str">
        <f aca="false">IF(B159="","",IFERROR(INDEX('Start here'!$C$16:$C$20,MATCH(B159,'Start here'!$B$16:$B$20,0)),"Check vehicle"))</f>
        <v/>
      </c>
      <c r="I159" s="25" t="str">
        <f aca="false">IF(OR(F159="",H159&lt;&gt;"Car or van"),"",SUMIFS($F$6:F159,$H$6:H159,"Car or van"))</f>
        <v/>
      </c>
      <c r="J159" s="24" t="str">
        <f aca="false">IF(F159="","",IF(H159="Car or van",IF(O159=0,TEXT(INDEX('Notes and sources'!$C$6:$D$6,1,'Start here'!$C$11)*100,"0")&amp;"p",IF(N159=0,TEXT(INDEX('Notes and sources'!$C$7:$D$7,1,'Start here'!$C$11)*100,"0")&amp;"p",TEXT(INDEX('Notes and sources'!$C$6:$D$6,1,'Start here'!$C$11)*100,"0")&amp;"p/"&amp;TEXT(INDEX('Notes and sources'!$C$7:$D$7,1,'Start here'!$C$11)*100,"0")&amp;"p")),IF(H159="Motorcycle",TEXT(INDEX('Notes and sources'!$C$8:$D$8,1,'Start here'!$C$11)*100,"0")&amp;"p",IF(H159="Bicycle",TEXT(INDEX('Notes and sources'!$C$9:$D$9,1,'Start here'!$C$11)*100,"0")&amp;"p",""))))</f>
        <v/>
      </c>
      <c r="K159" s="26" t="str">
        <f aca="false">IF(F159="","",ROUND(IF(H159="Car or van",N159*INDEX('Notes and sources'!$C$6:$D$6,1,'Start here'!$C$11)+O159*INDEX('Notes and sources'!$C$7:$D$7,1,'Start here'!$C$11)+N(G159)*N(F159)*INDEX('Notes and sources'!$C$10:$D$10,1,'Start here'!$C$11),IF(H159="Motorcycle",N(F159)*INDEX('Notes and sources'!$C$8:$D$8,1,'Start here'!$C$11),IF(H159="Bicycle",N(F159)*INDEX('Notes and sources'!$C$9:$D$9,1,'Start here'!$C$11),0))),2))</f>
        <v/>
      </c>
      <c r="L159" s="27"/>
      <c r="N159" s="2" t="n">
        <f aca="false">IF(I159="",0,MAX(0,MIN(N(F159),INDEX('Notes and sources'!$C$12:$D$12,1,'Start here'!$C$11)-(I159-N(F159)))))</f>
        <v>0</v>
      </c>
      <c r="O159" s="2" t="n">
        <f aca="false">IF(I159="",0,N(F159)-N159)</f>
        <v>0</v>
      </c>
      <c r="P159" s="2" t="str">
        <f aca="false">IF(A159="","",IF(AND(MONTH(A159)=4,DAY(A159)&lt;6),13,MOD(MONTH(A159)-4,12)+1))</f>
        <v/>
      </c>
    </row>
    <row r="160" customFormat="false" ht="15" hidden="false" customHeight="false" outlineLevel="0" collapsed="false">
      <c r="A160" s="21"/>
      <c r="B160" s="6"/>
      <c r="C160" s="6"/>
      <c r="D160" s="6"/>
      <c r="E160" s="6"/>
      <c r="F160" s="22"/>
      <c r="G160" s="23"/>
      <c r="H160" s="24" t="str">
        <f aca="false">IF(B160="","",IFERROR(INDEX('Start here'!$C$16:$C$20,MATCH(B160,'Start here'!$B$16:$B$20,0)),"Check vehicle"))</f>
        <v/>
      </c>
      <c r="I160" s="25" t="str">
        <f aca="false">IF(OR(F160="",H160&lt;&gt;"Car or van"),"",SUMIFS($F$6:F160,$H$6:H160,"Car or van"))</f>
        <v/>
      </c>
      <c r="J160" s="24" t="str">
        <f aca="false">IF(F160="","",IF(H160="Car or van",IF(O160=0,TEXT(INDEX('Notes and sources'!$C$6:$D$6,1,'Start here'!$C$11)*100,"0")&amp;"p",IF(N160=0,TEXT(INDEX('Notes and sources'!$C$7:$D$7,1,'Start here'!$C$11)*100,"0")&amp;"p",TEXT(INDEX('Notes and sources'!$C$6:$D$6,1,'Start here'!$C$11)*100,"0")&amp;"p/"&amp;TEXT(INDEX('Notes and sources'!$C$7:$D$7,1,'Start here'!$C$11)*100,"0")&amp;"p")),IF(H160="Motorcycle",TEXT(INDEX('Notes and sources'!$C$8:$D$8,1,'Start here'!$C$11)*100,"0")&amp;"p",IF(H160="Bicycle",TEXT(INDEX('Notes and sources'!$C$9:$D$9,1,'Start here'!$C$11)*100,"0")&amp;"p",""))))</f>
        <v/>
      </c>
      <c r="K160" s="26" t="str">
        <f aca="false">IF(F160="","",ROUND(IF(H160="Car or van",N160*INDEX('Notes and sources'!$C$6:$D$6,1,'Start here'!$C$11)+O160*INDEX('Notes and sources'!$C$7:$D$7,1,'Start here'!$C$11)+N(G160)*N(F160)*INDEX('Notes and sources'!$C$10:$D$10,1,'Start here'!$C$11),IF(H160="Motorcycle",N(F160)*INDEX('Notes and sources'!$C$8:$D$8,1,'Start here'!$C$11),IF(H160="Bicycle",N(F160)*INDEX('Notes and sources'!$C$9:$D$9,1,'Start here'!$C$11),0))),2))</f>
        <v/>
      </c>
      <c r="L160" s="27"/>
      <c r="N160" s="2" t="n">
        <f aca="false">IF(I160="",0,MAX(0,MIN(N(F160),INDEX('Notes and sources'!$C$12:$D$12,1,'Start here'!$C$11)-(I160-N(F160)))))</f>
        <v>0</v>
      </c>
      <c r="O160" s="2" t="n">
        <f aca="false">IF(I160="",0,N(F160)-N160)</f>
        <v>0</v>
      </c>
      <c r="P160" s="2" t="str">
        <f aca="false">IF(A160="","",IF(AND(MONTH(A160)=4,DAY(A160)&lt;6),13,MOD(MONTH(A160)-4,12)+1))</f>
        <v/>
      </c>
    </row>
    <row r="161" customFormat="false" ht="15" hidden="false" customHeight="false" outlineLevel="0" collapsed="false">
      <c r="A161" s="21"/>
      <c r="B161" s="6"/>
      <c r="C161" s="6"/>
      <c r="D161" s="6"/>
      <c r="E161" s="6"/>
      <c r="F161" s="22"/>
      <c r="G161" s="23"/>
      <c r="H161" s="24" t="str">
        <f aca="false">IF(B161="","",IFERROR(INDEX('Start here'!$C$16:$C$20,MATCH(B161,'Start here'!$B$16:$B$20,0)),"Check vehicle"))</f>
        <v/>
      </c>
      <c r="I161" s="25" t="str">
        <f aca="false">IF(OR(F161="",H161&lt;&gt;"Car or van"),"",SUMIFS($F$6:F161,$H$6:H161,"Car or van"))</f>
        <v/>
      </c>
      <c r="J161" s="24" t="str">
        <f aca="false">IF(F161="","",IF(H161="Car or van",IF(O161=0,TEXT(INDEX('Notes and sources'!$C$6:$D$6,1,'Start here'!$C$11)*100,"0")&amp;"p",IF(N161=0,TEXT(INDEX('Notes and sources'!$C$7:$D$7,1,'Start here'!$C$11)*100,"0")&amp;"p",TEXT(INDEX('Notes and sources'!$C$6:$D$6,1,'Start here'!$C$11)*100,"0")&amp;"p/"&amp;TEXT(INDEX('Notes and sources'!$C$7:$D$7,1,'Start here'!$C$11)*100,"0")&amp;"p")),IF(H161="Motorcycle",TEXT(INDEX('Notes and sources'!$C$8:$D$8,1,'Start here'!$C$11)*100,"0")&amp;"p",IF(H161="Bicycle",TEXT(INDEX('Notes and sources'!$C$9:$D$9,1,'Start here'!$C$11)*100,"0")&amp;"p",""))))</f>
        <v/>
      </c>
      <c r="K161" s="26" t="str">
        <f aca="false">IF(F161="","",ROUND(IF(H161="Car or van",N161*INDEX('Notes and sources'!$C$6:$D$6,1,'Start here'!$C$11)+O161*INDEX('Notes and sources'!$C$7:$D$7,1,'Start here'!$C$11)+N(G161)*N(F161)*INDEX('Notes and sources'!$C$10:$D$10,1,'Start here'!$C$11),IF(H161="Motorcycle",N(F161)*INDEX('Notes and sources'!$C$8:$D$8,1,'Start here'!$C$11),IF(H161="Bicycle",N(F161)*INDEX('Notes and sources'!$C$9:$D$9,1,'Start here'!$C$11),0))),2))</f>
        <v/>
      </c>
      <c r="L161" s="27"/>
      <c r="N161" s="2" t="n">
        <f aca="false">IF(I161="",0,MAX(0,MIN(N(F161),INDEX('Notes and sources'!$C$12:$D$12,1,'Start here'!$C$11)-(I161-N(F161)))))</f>
        <v>0</v>
      </c>
      <c r="O161" s="2" t="n">
        <f aca="false">IF(I161="",0,N(F161)-N161)</f>
        <v>0</v>
      </c>
      <c r="P161" s="2" t="str">
        <f aca="false">IF(A161="","",IF(AND(MONTH(A161)=4,DAY(A161)&lt;6),13,MOD(MONTH(A161)-4,12)+1))</f>
        <v/>
      </c>
    </row>
    <row r="162" customFormat="false" ht="15" hidden="false" customHeight="false" outlineLevel="0" collapsed="false">
      <c r="A162" s="21"/>
      <c r="B162" s="6"/>
      <c r="C162" s="6"/>
      <c r="D162" s="6"/>
      <c r="E162" s="6"/>
      <c r="F162" s="22"/>
      <c r="G162" s="23"/>
      <c r="H162" s="24" t="str">
        <f aca="false">IF(B162="","",IFERROR(INDEX('Start here'!$C$16:$C$20,MATCH(B162,'Start here'!$B$16:$B$20,0)),"Check vehicle"))</f>
        <v/>
      </c>
      <c r="I162" s="25" t="str">
        <f aca="false">IF(OR(F162="",H162&lt;&gt;"Car or van"),"",SUMIFS($F$6:F162,$H$6:H162,"Car or van"))</f>
        <v/>
      </c>
      <c r="J162" s="24" t="str">
        <f aca="false">IF(F162="","",IF(H162="Car or van",IF(O162=0,TEXT(INDEX('Notes and sources'!$C$6:$D$6,1,'Start here'!$C$11)*100,"0")&amp;"p",IF(N162=0,TEXT(INDEX('Notes and sources'!$C$7:$D$7,1,'Start here'!$C$11)*100,"0")&amp;"p",TEXT(INDEX('Notes and sources'!$C$6:$D$6,1,'Start here'!$C$11)*100,"0")&amp;"p/"&amp;TEXT(INDEX('Notes and sources'!$C$7:$D$7,1,'Start here'!$C$11)*100,"0")&amp;"p")),IF(H162="Motorcycle",TEXT(INDEX('Notes and sources'!$C$8:$D$8,1,'Start here'!$C$11)*100,"0")&amp;"p",IF(H162="Bicycle",TEXT(INDEX('Notes and sources'!$C$9:$D$9,1,'Start here'!$C$11)*100,"0")&amp;"p",""))))</f>
        <v/>
      </c>
      <c r="K162" s="26" t="str">
        <f aca="false">IF(F162="","",ROUND(IF(H162="Car or van",N162*INDEX('Notes and sources'!$C$6:$D$6,1,'Start here'!$C$11)+O162*INDEX('Notes and sources'!$C$7:$D$7,1,'Start here'!$C$11)+N(G162)*N(F162)*INDEX('Notes and sources'!$C$10:$D$10,1,'Start here'!$C$11),IF(H162="Motorcycle",N(F162)*INDEX('Notes and sources'!$C$8:$D$8,1,'Start here'!$C$11),IF(H162="Bicycle",N(F162)*INDEX('Notes and sources'!$C$9:$D$9,1,'Start here'!$C$11),0))),2))</f>
        <v/>
      </c>
      <c r="L162" s="27"/>
      <c r="N162" s="2" t="n">
        <f aca="false">IF(I162="",0,MAX(0,MIN(N(F162),INDEX('Notes and sources'!$C$12:$D$12,1,'Start here'!$C$11)-(I162-N(F162)))))</f>
        <v>0</v>
      </c>
      <c r="O162" s="2" t="n">
        <f aca="false">IF(I162="",0,N(F162)-N162)</f>
        <v>0</v>
      </c>
      <c r="P162" s="2" t="str">
        <f aca="false">IF(A162="","",IF(AND(MONTH(A162)=4,DAY(A162)&lt;6),13,MOD(MONTH(A162)-4,12)+1))</f>
        <v/>
      </c>
    </row>
    <row r="163" customFormat="false" ht="15" hidden="false" customHeight="false" outlineLevel="0" collapsed="false">
      <c r="A163" s="21"/>
      <c r="B163" s="6"/>
      <c r="C163" s="6"/>
      <c r="D163" s="6"/>
      <c r="E163" s="6"/>
      <c r="F163" s="22"/>
      <c r="G163" s="23"/>
      <c r="H163" s="24" t="str">
        <f aca="false">IF(B163="","",IFERROR(INDEX('Start here'!$C$16:$C$20,MATCH(B163,'Start here'!$B$16:$B$20,0)),"Check vehicle"))</f>
        <v/>
      </c>
      <c r="I163" s="25" t="str">
        <f aca="false">IF(OR(F163="",H163&lt;&gt;"Car or van"),"",SUMIFS($F$6:F163,$H$6:H163,"Car or van"))</f>
        <v/>
      </c>
      <c r="J163" s="24" t="str">
        <f aca="false">IF(F163="","",IF(H163="Car or van",IF(O163=0,TEXT(INDEX('Notes and sources'!$C$6:$D$6,1,'Start here'!$C$11)*100,"0")&amp;"p",IF(N163=0,TEXT(INDEX('Notes and sources'!$C$7:$D$7,1,'Start here'!$C$11)*100,"0")&amp;"p",TEXT(INDEX('Notes and sources'!$C$6:$D$6,1,'Start here'!$C$11)*100,"0")&amp;"p/"&amp;TEXT(INDEX('Notes and sources'!$C$7:$D$7,1,'Start here'!$C$11)*100,"0")&amp;"p")),IF(H163="Motorcycle",TEXT(INDEX('Notes and sources'!$C$8:$D$8,1,'Start here'!$C$11)*100,"0")&amp;"p",IF(H163="Bicycle",TEXT(INDEX('Notes and sources'!$C$9:$D$9,1,'Start here'!$C$11)*100,"0")&amp;"p",""))))</f>
        <v/>
      </c>
      <c r="K163" s="26" t="str">
        <f aca="false">IF(F163="","",ROUND(IF(H163="Car or van",N163*INDEX('Notes and sources'!$C$6:$D$6,1,'Start here'!$C$11)+O163*INDEX('Notes and sources'!$C$7:$D$7,1,'Start here'!$C$11)+N(G163)*N(F163)*INDEX('Notes and sources'!$C$10:$D$10,1,'Start here'!$C$11),IF(H163="Motorcycle",N(F163)*INDEX('Notes and sources'!$C$8:$D$8,1,'Start here'!$C$11),IF(H163="Bicycle",N(F163)*INDEX('Notes and sources'!$C$9:$D$9,1,'Start here'!$C$11),0))),2))</f>
        <v/>
      </c>
      <c r="L163" s="27"/>
      <c r="N163" s="2" t="n">
        <f aca="false">IF(I163="",0,MAX(0,MIN(N(F163),INDEX('Notes and sources'!$C$12:$D$12,1,'Start here'!$C$11)-(I163-N(F163)))))</f>
        <v>0</v>
      </c>
      <c r="O163" s="2" t="n">
        <f aca="false">IF(I163="",0,N(F163)-N163)</f>
        <v>0</v>
      </c>
      <c r="P163" s="2" t="str">
        <f aca="false">IF(A163="","",IF(AND(MONTH(A163)=4,DAY(A163)&lt;6),13,MOD(MONTH(A163)-4,12)+1))</f>
        <v/>
      </c>
    </row>
    <row r="164" customFormat="false" ht="15" hidden="false" customHeight="false" outlineLevel="0" collapsed="false">
      <c r="A164" s="21"/>
      <c r="B164" s="6"/>
      <c r="C164" s="6"/>
      <c r="D164" s="6"/>
      <c r="E164" s="6"/>
      <c r="F164" s="22"/>
      <c r="G164" s="23"/>
      <c r="H164" s="24" t="str">
        <f aca="false">IF(B164="","",IFERROR(INDEX('Start here'!$C$16:$C$20,MATCH(B164,'Start here'!$B$16:$B$20,0)),"Check vehicle"))</f>
        <v/>
      </c>
      <c r="I164" s="25" t="str">
        <f aca="false">IF(OR(F164="",H164&lt;&gt;"Car or van"),"",SUMIFS($F$6:F164,$H$6:H164,"Car or van"))</f>
        <v/>
      </c>
      <c r="J164" s="24" t="str">
        <f aca="false">IF(F164="","",IF(H164="Car or van",IF(O164=0,TEXT(INDEX('Notes and sources'!$C$6:$D$6,1,'Start here'!$C$11)*100,"0")&amp;"p",IF(N164=0,TEXT(INDEX('Notes and sources'!$C$7:$D$7,1,'Start here'!$C$11)*100,"0")&amp;"p",TEXT(INDEX('Notes and sources'!$C$6:$D$6,1,'Start here'!$C$11)*100,"0")&amp;"p/"&amp;TEXT(INDEX('Notes and sources'!$C$7:$D$7,1,'Start here'!$C$11)*100,"0")&amp;"p")),IF(H164="Motorcycle",TEXT(INDEX('Notes and sources'!$C$8:$D$8,1,'Start here'!$C$11)*100,"0")&amp;"p",IF(H164="Bicycle",TEXT(INDEX('Notes and sources'!$C$9:$D$9,1,'Start here'!$C$11)*100,"0")&amp;"p",""))))</f>
        <v/>
      </c>
      <c r="K164" s="26" t="str">
        <f aca="false">IF(F164="","",ROUND(IF(H164="Car or van",N164*INDEX('Notes and sources'!$C$6:$D$6,1,'Start here'!$C$11)+O164*INDEX('Notes and sources'!$C$7:$D$7,1,'Start here'!$C$11)+N(G164)*N(F164)*INDEX('Notes and sources'!$C$10:$D$10,1,'Start here'!$C$11),IF(H164="Motorcycle",N(F164)*INDEX('Notes and sources'!$C$8:$D$8,1,'Start here'!$C$11),IF(H164="Bicycle",N(F164)*INDEX('Notes and sources'!$C$9:$D$9,1,'Start here'!$C$11),0))),2))</f>
        <v/>
      </c>
      <c r="L164" s="27"/>
      <c r="N164" s="2" t="n">
        <f aca="false">IF(I164="",0,MAX(0,MIN(N(F164),INDEX('Notes and sources'!$C$12:$D$12,1,'Start here'!$C$11)-(I164-N(F164)))))</f>
        <v>0</v>
      </c>
      <c r="O164" s="2" t="n">
        <f aca="false">IF(I164="",0,N(F164)-N164)</f>
        <v>0</v>
      </c>
      <c r="P164" s="2" t="str">
        <f aca="false">IF(A164="","",IF(AND(MONTH(A164)=4,DAY(A164)&lt;6),13,MOD(MONTH(A164)-4,12)+1))</f>
        <v/>
      </c>
    </row>
    <row r="165" customFormat="false" ht="15" hidden="false" customHeight="false" outlineLevel="0" collapsed="false">
      <c r="A165" s="21"/>
      <c r="B165" s="6"/>
      <c r="C165" s="6"/>
      <c r="D165" s="6"/>
      <c r="E165" s="6"/>
      <c r="F165" s="22"/>
      <c r="G165" s="23"/>
      <c r="H165" s="24" t="str">
        <f aca="false">IF(B165="","",IFERROR(INDEX('Start here'!$C$16:$C$20,MATCH(B165,'Start here'!$B$16:$B$20,0)),"Check vehicle"))</f>
        <v/>
      </c>
      <c r="I165" s="25" t="str">
        <f aca="false">IF(OR(F165="",H165&lt;&gt;"Car or van"),"",SUMIFS($F$6:F165,$H$6:H165,"Car or van"))</f>
        <v/>
      </c>
      <c r="J165" s="24" t="str">
        <f aca="false">IF(F165="","",IF(H165="Car or van",IF(O165=0,TEXT(INDEX('Notes and sources'!$C$6:$D$6,1,'Start here'!$C$11)*100,"0")&amp;"p",IF(N165=0,TEXT(INDEX('Notes and sources'!$C$7:$D$7,1,'Start here'!$C$11)*100,"0")&amp;"p",TEXT(INDEX('Notes and sources'!$C$6:$D$6,1,'Start here'!$C$11)*100,"0")&amp;"p/"&amp;TEXT(INDEX('Notes and sources'!$C$7:$D$7,1,'Start here'!$C$11)*100,"0")&amp;"p")),IF(H165="Motorcycle",TEXT(INDEX('Notes and sources'!$C$8:$D$8,1,'Start here'!$C$11)*100,"0")&amp;"p",IF(H165="Bicycle",TEXT(INDEX('Notes and sources'!$C$9:$D$9,1,'Start here'!$C$11)*100,"0")&amp;"p",""))))</f>
        <v/>
      </c>
      <c r="K165" s="26" t="str">
        <f aca="false">IF(F165="","",ROUND(IF(H165="Car or van",N165*INDEX('Notes and sources'!$C$6:$D$6,1,'Start here'!$C$11)+O165*INDEX('Notes and sources'!$C$7:$D$7,1,'Start here'!$C$11)+N(G165)*N(F165)*INDEX('Notes and sources'!$C$10:$D$10,1,'Start here'!$C$11),IF(H165="Motorcycle",N(F165)*INDEX('Notes and sources'!$C$8:$D$8,1,'Start here'!$C$11),IF(H165="Bicycle",N(F165)*INDEX('Notes and sources'!$C$9:$D$9,1,'Start here'!$C$11),0))),2))</f>
        <v/>
      </c>
      <c r="L165" s="27"/>
      <c r="N165" s="2" t="n">
        <f aca="false">IF(I165="",0,MAX(0,MIN(N(F165),INDEX('Notes and sources'!$C$12:$D$12,1,'Start here'!$C$11)-(I165-N(F165)))))</f>
        <v>0</v>
      </c>
      <c r="O165" s="2" t="n">
        <f aca="false">IF(I165="",0,N(F165)-N165)</f>
        <v>0</v>
      </c>
      <c r="P165" s="2" t="str">
        <f aca="false">IF(A165="","",IF(AND(MONTH(A165)=4,DAY(A165)&lt;6),13,MOD(MONTH(A165)-4,12)+1))</f>
        <v/>
      </c>
    </row>
    <row r="166" customFormat="false" ht="15" hidden="false" customHeight="false" outlineLevel="0" collapsed="false">
      <c r="A166" s="21"/>
      <c r="B166" s="6"/>
      <c r="C166" s="6"/>
      <c r="D166" s="6"/>
      <c r="E166" s="6"/>
      <c r="F166" s="22"/>
      <c r="G166" s="23"/>
      <c r="H166" s="24" t="str">
        <f aca="false">IF(B166="","",IFERROR(INDEX('Start here'!$C$16:$C$20,MATCH(B166,'Start here'!$B$16:$B$20,0)),"Check vehicle"))</f>
        <v/>
      </c>
      <c r="I166" s="25" t="str">
        <f aca="false">IF(OR(F166="",H166&lt;&gt;"Car or van"),"",SUMIFS($F$6:F166,$H$6:H166,"Car or van"))</f>
        <v/>
      </c>
      <c r="J166" s="24" t="str">
        <f aca="false">IF(F166="","",IF(H166="Car or van",IF(O166=0,TEXT(INDEX('Notes and sources'!$C$6:$D$6,1,'Start here'!$C$11)*100,"0")&amp;"p",IF(N166=0,TEXT(INDEX('Notes and sources'!$C$7:$D$7,1,'Start here'!$C$11)*100,"0")&amp;"p",TEXT(INDEX('Notes and sources'!$C$6:$D$6,1,'Start here'!$C$11)*100,"0")&amp;"p/"&amp;TEXT(INDEX('Notes and sources'!$C$7:$D$7,1,'Start here'!$C$11)*100,"0")&amp;"p")),IF(H166="Motorcycle",TEXT(INDEX('Notes and sources'!$C$8:$D$8,1,'Start here'!$C$11)*100,"0")&amp;"p",IF(H166="Bicycle",TEXT(INDEX('Notes and sources'!$C$9:$D$9,1,'Start here'!$C$11)*100,"0")&amp;"p",""))))</f>
        <v/>
      </c>
      <c r="K166" s="26" t="str">
        <f aca="false">IF(F166="","",ROUND(IF(H166="Car or van",N166*INDEX('Notes and sources'!$C$6:$D$6,1,'Start here'!$C$11)+O166*INDEX('Notes and sources'!$C$7:$D$7,1,'Start here'!$C$11)+N(G166)*N(F166)*INDEX('Notes and sources'!$C$10:$D$10,1,'Start here'!$C$11),IF(H166="Motorcycle",N(F166)*INDEX('Notes and sources'!$C$8:$D$8,1,'Start here'!$C$11),IF(H166="Bicycle",N(F166)*INDEX('Notes and sources'!$C$9:$D$9,1,'Start here'!$C$11),0))),2))</f>
        <v/>
      </c>
      <c r="L166" s="27"/>
      <c r="N166" s="2" t="n">
        <f aca="false">IF(I166="",0,MAX(0,MIN(N(F166),INDEX('Notes and sources'!$C$12:$D$12,1,'Start here'!$C$11)-(I166-N(F166)))))</f>
        <v>0</v>
      </c>
      <c r="O166" s="2" t="n">
        <f aca="false">IF(I166="",0,N(F166)-N166)</f>
        <v>0</v>
      </c>
      <c r="P166" s="2" t="str">
        <f aca="false">IF(A166="","",IF(AND(MONTH(A166)=4,DAY(A166)&lt;6),13,MOD(MONTH(A166)-4,12)+1))</f>
        <v/>
      </c>
    </row>
    <row r="167" customFormat="false" ht="15" hidden="false" customHeight="false" outlineLevel="0" collapsed="false">
      <c r="A167" s="21"/>
      <c r="B167" s="6"/>
      <c r="C167" s="6"/>
      <c r="D167" s="6"/>
      <c r="E167" s="6"/>
      <c r="F167" s="22"/>
      <c r="G167" s="23"/>
      <c r="H167" s="24" t="str">
        <f aca="false">IF(B167="","",IFERROR(INDEX('Start here'!$C$16:$C$20,MATCH(B167,'Start here'!$B$16:$B$20,0)),"Check vehicle"))</f>
        <v/>
      </c>
      <c r="I167" s="25" t="str">
        <f aca="false">IF(OR(F167="",H167&lt;&gt;"Car or van"),"",SUMIFS($F$6:F167,$H$6:H167,"Car or van"))</f>
        <v/>
      </c>
      <c r="J167" s="24" t="str">
        <f aca="false">IF(F167="","",IF(H167="Car or van",IF(O167=0,TEXT(INDEX('Notes and sources'!$C$6:$D$6,1,'Start here'!$C$11)*100,"0")&amp;"p",IF(N167=0,TEXT(INDEX('Notes and sources'!$C$7:$D$7,1,'Start here'!$C$11)*100,"0")&amp;"p",TEXT(INDEX('Notes and sources'!$C$6:$D$6,1,'Start here'!$C$11)*100,"0")&amp;"p/"&amp;TEXT(INDEX('Notes and sources'!$C$7:$D$7,1,'Start here'!$C$11)*100,"0")&amp;"p")),IF(H167="Motorcycle",TEXT(INDEX('Notes and sources'!$C$8:$D$8,1,'Start here'!$C$11)*100,"0")&amp;"p",IF(H167="Bicycle",TEXT(INDEX('Notes and sources'!$C$9:$D$9,1,'Start here'!$C$11)*100,"0")&amp;"p",""))))</f>
        <v/>
      </c>
      <c r="K167" s="26" t="str">
        <f aca="false">IF(F167="","",ROUND(IF(H167="Car or van",N167*INDEX('Notes and sources'!$C$6:$D$6,1,'Start here'!$C$11)+O167*INDEX('Notes and sources'!$C$7:$D$7,1,'Start here'!$C$11)+N(G167)*N(F167)*INDEX('Notes and sources'!$C$10:$D$10,1,'Start here'!$C$11),IF(H167="Motorcycle",N(F167)*INDEX('Notes and sources'!$C$8:$D$8,1,'Start here'!$C$11),IF(H167="Bicycle",N(F167)*INDEX('Notes and sources'!$C$9:$D$9,1,'Start here'!$C$11),0))),2))</f>
        <v/>
      </c>
      <c r="L167" s="27"/>
      <c r="N167" s="2" t="n">
        <f aca="false">IF(I167="",0,MAX(0,MIN(N(F167),INDEX('Notes and sources'!$C$12:$D$12,1,'Start here'!$C$11)-(I167-N(F167)))))</f>
        <v>0</v>
      </c>
      <c r="O167" s="2" t="n">
        <f aca="false">IF(I167="",0,N(F167)-N167)</f>
        <v>0</v>
      </c>
      <c r="P167" s="2" t="str">
        <f aca="false">IF(A167="","",IF(AND(MONTH(A167)=4,DAY(A167)&lt;6),13,MOD(MONTH(A167)-4,12)+1))</f>
        <v/>
      </c>
    </row>
    <row r="168" customFormat="false" ht="15" hidden="false" customHeight="false" outlineLevel="0" collapsed="false">
      <c r="A168" s="21"/>
      <c r="B168" s="6"/>
      <c r="C168" s="6"/>
      <c r="D168" s="6"/>
      <c r="E168" s="6"/>
      <c r="F168" s="22"/>
      <c r="G168" s="23"/>
      <c r="H168" s="24" t="str">
        <f aca="false">IF(B168="","",IFERROR(INDEX('Start here'!$C$16:$C$20,MATCH(B168,'Start here'!$B$16:$B$20,0)),"Check vehicle"))</f>
        <v/>
      </c>
      <c r="I168" s="25" t="str">
        <f aca="false">IF(OR(F168="",H168&lt;&gt;"Car or van"),"",SUMIFS($F$6:F168,$H$6:H168,"Car or van"))</f>
        <v/>
      </c>
      <c r="J168" s="24" t="str">
        <f aca="false">IF(F168="","",IF(H168="Car or van",IF(O168=0,TEXT(INDEX('Notes and sources'!$C$6:$D$6,1,'Start here'!$C$11)*100,"0")&amp;"p",IF(N168=0,TEXT(INDEX('Notes and sources'!$C$7:$D$7,1,'Start here'!$C$11)*100,"0")&amp;"p",TEXT(INDEX('Notes and sources'!$C$6:$D$6,1,'Start here'!$C$11)*100,"0")&amp;"p/"&amp;TEXT(INDEX('Notes and sources'!$C$7:$D$7,1,'Start here'!$C$11)*100,"0")&amp;"p")),IF(H168="Motorcycle",TEXT(INDEX('Notes and sources'!$C$8:$D$8,1,'Start here'!$C$11)*100,"0")&amp;"p",IF(H168="Bicycle",TEXT(INDEX('Notes and sources'!$C$9:$D$9,1,'Start here'!$C$11)*100,"0")&amp;"p",""))))</f>
        <v/>
      </c>
      <c r="K168" s="26" t="str">
        <f aca="false">IF(F168="","",ROUND(IF(H168="Car or van",N168*INDEX('Notes and sources'!$C$6:$D$6,1,'Start here'!$C$11)+O168*INDEX('Notes and sources'!$C$7:$D$7,1,'Start here'!$C$11)+N(G168)*N(F168)*INDEX('Notes and sources'!$C$10:$D$10,1,'Start here'!$C$11),IF(H168="Motorcycle",N(F168)*INDEX('Notes and sources'!$C$8:$D$8,1,'Start here'!$C$11),IF(H168="Bicycle",N(F168)*INDEX('Notes and sources'!$C$9:$D$9,1,'Start here'!$C$11),0))),2))</f>
        <v/>
      </c>
      <c r="L168" s="27"/>
      <c r="N168" s="2" t="n">
        <f aca="false">IF(I168="",0,MAX(0,MIN(N(F168),INDEX('Notes and sources'!$C$12:$D$12,1,'Start here'!$C$11)-(I168-N(F168)))))</f>
        <v>0</v>
      </c>
      <c r="O168" s="2" t="n">
        <f aca="false">IF(I168="",0,N(F168)-N168)</f>
        <v>0</v>
      </c>
      <c r="P168" s="2" t="str">
        <f aca="false">IF(A168="","",IF(AND(MONTH(A168)=4,DAY(A168)&lt;6),13,MOD(MONTH(A168)-4,12)+1))</f>
        <v/>
      </c>
    </row>
    <row r="169" customFormat="false" ht="15" hidden="false" customHeight="false" outlineLevel="0" collapsed="false">
      <c r="A169" s="21"/>
      <c r="B169" s="6"/>
      <c r="C169" s="6"/>
      <c r="D169" s="6"/>
      <c r="E169" s="6"/>
      <c r="F169" s="22"/>
      <c r="G169" s="23"/>
      <c r="H169" s="24" t="str">
        <f aca="false">IF(B169="","",IFERROR(INDEX('Start here'!$C$16:$C$20,MATCH(B169,'Start here'!$B$16:$B$20,0)),"Check vehicle"))</f>
        <v/>
      </c>
      <c r="I169" s="25" t="str">
        <f aca="false">IF(OR(F169="",H169&lt;&gt;"Car or van"),"",SUMIFS($F$6:F169,$H$6:H169,"Car or van"))</f>
        <v/>
      </c>
      <c r="J169" s="24" t="str">
        <f aca="false">IF(F169="","",IF(H169="Car or van",IF(O169=0,TEXT(INDEX('Notes and sources'!$C$6:$D$6,1,'Start here'!$C$11)*100,"0")&amp;"p",IF(N169=0,TEXT(INDEX('Notes and sources'!$C$7:$D$7,1,'Start here'!$C$11)*100,"0")&amp;"p",TEXT(INDEX('Notes and sources'!$C$6:$D$6,1,'Start here'!$C$11)*100,"0")&amp;"p/"&amp;TEXT(INDEX('Notes and sources'!$C$7:$D$7,1,'Start here'!$C$11)*100,"0")&amp;"p")),IF(H169="Motorcycle",TEXT(INDEX('Notes and sources'!$C$8:$D$8,1,'Start here'!$C$11)*100,"0")&amp;"p",IF(H169="Bicycle",TEXT(INDEX('Notes and sources'!$C$9:$D$9,1,'Start here'!$C$11)*100,"0")&amp;"p",""))))</f>
        <v/>
      </c>
      <c r="K169" s="26" t="str">
        <f aca="false">IF(F169="","",ROUND(IF(H169="Car or van",N169*INDEX('Notes and sources'!$C$6:$D$6,1,'Start here'!$C$11)+O169*INDEX('Notes and sources'!$C$7:$D$7,1,'Start here'!$C$11)+N(G169)*N(F169)*INDEX('Notes and sources'!$C$10:$D$10,1,'Start here'!$C$11),IF(H169="Motorcycle",N(F169)*INDEX('Notes and sources'!$C$8:$D$8,1,'Start here'!$C$11),IF(H169="Bicycle",N(F169)*INDEX('Notes and sources'!$C$9:$D$9,1,'Start here'!$C$11),0))),2))</f>
        <v/>
      </c>
      <c r="L169" s="27"/>
      <c r="N169" s="2" t="n">
        <f aca="false">IF(I169="",0,MAX(0,MIN(N(F169),INDEX('Notes and sources'!$C$12:$D$12,1,'Start here'!$C$11)-(I169-N(F169)))))</f>
        <v>0</v>
      </c>
      <c r="O169" s="2" t="n">
        <f aca="false">IF(I169="",0,N(F169)-N169)</f>
        <v>0</v>
      </c>
      <c r="P169" s="2" t="str">
        <f aca="false">IF(A169="","",IF(AND(MONTH(A169)=4,DAY(A169)&lt;6),13,MOD(MONTH(A169)-4,12)+1))</f>
        <v/>
      </c>
    </row>
    <row r="170" customFormat="false" ht="15" hidden="false" customHeight="false" outlineLevel="0" collapsed="false">
      <c r="A170" s="21"/>
      <c r="B170" s="6"/>
      <c r="C170" s="6"/>
      <c r="D170" s="6"/>
      <c r="E170" s="6"/>
      <c r="F170" s="22"/>
      <c r="G170" s="23"/>
      <c r="H170" s="24" t="str">
        <f aca="false">IF(B170="","",IFERROR(INDEX('Start here'!$C$16:$C$20,MATCH(B170,'Start here'!$B$16:$B$20,0)),"Check vehicle"))</f>
        <v/>
      </c>
      <c r="I170" s="25" t="str">
        <f aca="false">IF(OR(F170="",H170&lt;&gt;"Car or van"),"",SUMIFS($F$6:F170,$H$6:H170,"Car or van"))</f>
        <v/>
      </c>
      <c r="J170" s="24" t="str">
        <f aca="false">IF(F170="","",IF(H170="Car or van",IF(O170=0,TEXT(INDEX('Notes and sources'!$C$6:$D$6,1,'Start here'!$C$11)*100,"0")&amp;"p",IF(N170=0,TEXT(INDEX('Notes and sources'!$C$7:$D$7,1,'Start here'!$C$11)*100,"0")&amp;"p",TEXT(INDEX('Notes and sources'!$C$6:$D$6,1,'Start here'!$C$11)*100,"0")&amp;"p/"&amp;TEXT(INDEX('Notes and sources'!$C$7:$D$7,1,'Start here'!$C$11)*100,"0")&amp;"p")),IF(H170="Motorcycle",TEXT(INDEX('Notes and sources'!$C$8:$D$8,1,'Start here'!$C$11)*100,"0")&amp;"p",IF(H170="Bicycle",TEXT(INDEX('Notes and sources'!$C$9:$D$9,1,'Start here'!$C$11)*100,"0")&amp;"p",""))))</f>
        <v/>
      </c>
      <c r="K170" s="26" t="str">
        <f aca="false">IF(F170="","",ROUND(IF(H170="Car or van",N170*INDEX('Notes and sources'!$C$6:$D$6,1,'Start here'!$C$11)+O170*INDEX('Notes and sources'!$C$7:$D$7,1,'Start here'!$C$11)+N(G170)*N(F170)*INDEX('Notes and sources'!$C$10:$D$10,1,'Start here'!$C$11),IF(H170="Motorcycle",N(F170)*INDEX('Notes and sources'!$C$8:$D$8,1,'Start here'!$C$11),IF(H170="Bicycle",N(F170)*INDEX('Notes and sources'!$C$9:$D$9,1,'Start here'!$C$11),0))),2))</f>
        <v/>
      </c>
      <c r="L170" s="27"/>
      <c r="N170" s="2" t="n">
        <f aca="false">IF(I170="",0,MAX(0,MIN(N(F170),INDEX('Notes and sources'!$C$12:$D$12,1,'Start here'!$C$11)-(I170-N(F170)))))</f>
        <v>0</v>
      </c>
      <c r="O170" s="2" t="n">
        <f aca="false">IF(I170="",0,N(F170)-N170)</f>
        <v>0</v>
      </c>
      <c r="P170" s="2" t="str">
        <f aca="false">IF(A170="","",IF(AND(MONTH(A170)=4,DAY(A170)&lt;6),13,MOD(MONTH(A170)-4,12)+1))</f>
        <v/>
      </c>
    </row>
    <row r="171" customFormat="false" ht="15" hidden="false" customHeight="false" outlineLevel="0" collapsed="false">
      <c r="A171" s="21"/>
      <c r="B171" s="6"/>
      <c r="C171" s="6"/>
      <c r="D171" s="6"/>
      <c r="E171" s="6"/>
      <c r="F171" s="22"/>
      <c r="G171" s="23"/>
      <c r="H171" s="24" t="str">
        <f aca="false">IF(B171="","",IFERROR(INDEX('Start here'!$C$16:$C$20,MATCH(B171,'Start here'!$B$16:$B$20,0)),"Check vehicle"))</f>
        <v/>
      </c>
      <c r="I171" s="25" t="str">
        <f aca="false">IF(OR(F171="",H171&lt;&gt;"Car or van"),"",SUMIFS($F$6:F171,$H$6:H171,"Car or van"))</f>
        <v/>
      </c>
      <c r="J171" s="24" t="str">
        <f aca="false">IF(F171="","",IF(H171="Car or van",IF(O171=0,TEXT(INDEX('Notes and sources'!$C$6:$D$6,1,'Start here'!$C$11)*100,"0")&amp;"p",IF(N171=0,TEXT(INDEX('Notes and sources'!$C$7:$D$7,1,'Start here'!$C$11)*100,"0")&amp;"p",TEXT(INDEX('Notes and sources'!$C$6:$D$6,1,'Start here'!$C$11)*100,"0")&amp;"p/"&amp;TEXT(INDEX('Notes and sources'!$C$7:$D$7,1,'Start here'!$C$11)*100,"0")&amp;"p")),IF(H171="Motorcycle",TEXT(INDEX('Notes and sources'!$C$8:$D$8,1,'Start here'!$C$11)*100,"0")&amp;"p",IF(H171="Bicycle",TEXT(INDEX('Notes and sources'!$C$9:$D$9,1,'Start here'!$C$11)*100,"0")&amp;"p",""))))</f>
        <v/>
      </c>
      <c r="K171" s="26" t="str">
        <f aca="false">IF(F171="","",ROUND(IF(H171="Car or van",N171*INDEX('Notes and sources'!$C$6:$D$6,1,'Start here'!$C$11)+O171*INDEX('Notes and sources'!$C$7:$D$7,1,'Start here'!$C$11)+N(G171)*N(F171)*INDEX('Notes and sources'!$C$10:$D$10,1,'Start here'!$C$11),IF(H171="Motorcycle",N(F171)*INDEX('Notes and sources'!$C$8:$D$8,1,'Start here'!$C$11),IF(H171="Bicycle",N(F171)*INDEX('Notes and sources'!$C$9:$D$9,1,'Start here'!$C$11),0))),2))</f>
        <v/>
      </c>
      <c r="L171" s="27"/>
      <c r="N171" s="2" t="n">
        <f aca="false">IF(I171="",0,MAX(0,MIN(N(F171),INDEX('Notes and sources'!$C$12:$D$12,1,'Start here'!$C$11)-(I171-N(F171)))))</f>
        <v>0</v>
      </c>
      <c r="O171" s="2" t="n">
        <f aca="false">IF(I171="",0,N(F171)-N171)</f>
        <v>0</v>
      </c>
      <c r="P171" s="2" t="str">
        <f aca="false">IF(A171="","",IF(AND(MONTH(A171)=4,DAY(A171)&lt;6),13,MOD(MONTH(A171)-4,12)+1))</f>
        <v/>
      </c>
    </row>
    <row r="172" customFormat="false" ht="15" hidden="false" customHeight="false" outlineLevel="0" collapsed="false">
      <c r="A172" s="21"/>
      <c r="B172" s="6"/>
      <c r="C172" s="6"/>
      <c r="D172" s="6"/>
      <c r="E172" s="6"/>
      <c r="F172" s="22"/>
      <c r="G172" s="23"/>
      <c r="H172" s="24" t="str">
        <f aca="false">IF(B172="","",IFERROR(INDEX('Start here'!$C$16:$C$20,MATCH(B172,'Start here'!$B$16:$B$20,0)),"Check vehicle"))</f>
        <v/>
      </c>
      <c r="I172" s="25" t="str">
        <f aca="false">IF(OR(F172="",H172&lt;&gt;"Car or van"),"",SUMIFS($F$6:F172,$H$6:H172,"Car or van"))</f>
        <v/>
      </c>
      <c r="J172" s="24" t="str">
        <f aca="false">IF(F172="","",IF(H172="Car or van",IF(O172=0,TEXT(INDEX('Notes and sources'!$C$6:$D$6,1,'Start here'!$C$11)*100,"0")&amp;"p",IF(N172=0,TEXT(INDEX('Notes and sources'!$C$7:$D$7,1,'Start here'!$C$11)*100,"0")&amp;"p",TEXT(INDEX('Notes and sources'!$C$6:$D$6,1,'Start here'!$C$11)*100,"0")&amp;"p/"&amp;TEXT(INDEX('Notes and sources'!$C$7:$D$7,1,'Start here'!$C$11)*100,"0")&amp;"p")),IF(H172="Motorcycle",TEXT(INDEX('Notes and sources'!$C$8:$D$8,1,'Start here'!$C$11)*100,"0")&amp;"p",IF(H172="Bicycle",TEXT(INDEX('Notes and sources'!$C$9:$D$9,1,'Start here'!$C$11)*100,"0")&amp;"p",""))))</f>
        <v/>
      </c>
      <c r="K172" s="26" t="str">
        <f aca="false">IF(F172="","",ROUND(IF(H172="Car or van",N172*INDEX('Notes and sources'!$C$6:$D$6,1,'Start here'!$C$11)+O172*INDEX('Notes and sources'!$C$7:$D$7,1,'Start here'!$C$11)+N(G172)*N(F172)*INDEX('Notes and sources'!$C$10:$D$10,1,'Start here'!$C$11),IF(H172="Motorcycle",N(F172)*INDEX('Notes and sources'!$C$8:$D$8,1,'Start here'!$C$11),IF(H172="Bicycle",N(F172)*INDEX('Notes and sources'!$C$9:$D$9,1,'Start here'!$C$11),0))),2))</f>
        <v/>
      </c>
      <c r="L172" s="27"/>
      <c r="N172" s="2" t="n">
        <f aca="false">IF(I172="",0,MAX(0,MIN(N(F172),INDEX('Notes and sources'!$C$12:$D$12,1,'Start here'!$C$11)-(I172-N(F172)))))</f>
        <v>0</v>
      </c>
      <c r="O172" s="2" t="n">
        <f aca="false">IF(I172="",0,N(F172)-N172)</f>
        <v>0</v>
      </c>
      <c r="P172" s="2" t="str">
        <f aca="false">IF(A172="","",IF(AND(MONTH(A172)=4,DAY(A172)&lt;6),13,MOD(MONTH(A172)-4,12)+1))</f>
        <v/>
      </c>
    </row>
    <row r="173" customFormat="false" ht="15" hidden="false" customHeight="false" outlineLevel="0" collapsed="false">
      <c r="A173" s="21"/>
      <c r="B173" s="6"/>
      <c r="C173" s="6"/>
      <c r="D173" s="6"/>
      <c r="E173" s="6"/>
      <c r="F173" s="22"/>
      <c r="G173" s="23"/>
      <c r="H173" s="24" t="str">
        <f aca="false">IF(B173="","",IFERROR(INDEX('Start here'!$C$16:$C$20,MATCH(B173,'Start here'!$B$16:$B$20,0)),"Check vehicle"))</f>
        <v/>
      </c>
      <c r="I173" s="25" t="str">
        <f aca="false">IF(OR(F173="",H173&lt;&gt;"Car or van"),"",SUMIFS($F$6:F173,$H$6:H173,"Car or van"))</f>
        <v/>
      </c>
      <c r="J173" s="24" t="str">
        <f aca="false">IF(F173="","",IF(H173="Car or van",IF(O173=0,TEXT(INDEX('Notes and sources'!$C$6:$D$6,1,'Start here'!$C$11)*100,"0")&amp;"p",IF(N173=0,TEXT(INDEX('Notes and sources'!$C$7:$D$7,1,'Start here'!$C$11)*100,"0")&amp;"p",TEXT(INDEX('Notes and sources'!$C$6:$D$6,1,'Start here'!$C$11)*100,"0")&amp;"p/"&amp;TEXT(INDEX('Notes and sources'!$C$7:$D$7,1,'Start here'!$C$11)*100,"0")&amp;"p")),IF(H173="Motorcycle",TEXT(INDEX('Notes and sources'!$C$8:$D$8,1,'Start here'!$C$11)*100,"0")&amp;"p",IF(H173="Bicycle",TEXT(INDEX('Notes and sources'!$C$9:$D$9,1,'Start here'!$C$11)*100,"0")&amp;"p",""))))</f>
        <v/>
      </c>
      <c r="K173" s="26" t="str">
        <f aca="false">IF(F173="","",ROUND(IF(H173="Car or van",N173*INDEX('Notes and sources'!$C$6:$D$6,1,'Start here'!$C$11)+O173*INDEX('Notes and sources'!$C$7:$D$7,1,'Start here'!$C$11)+N(G173)*N(F173)*INDEX('Notes and sources'!$C$10:$D$10,1,'Start here'!$C$11),IF(H173="Motorcycle",N(F173)*INDEX('Notes and sources'!$C$8:$D$8,1,'Start here'!$C$11),IF(H173="Bicycle",N(F173)*INDEX('Notes and sources'!$C$9:$D$9,1,'Start here'!$C$11),0))),2))</f>
        <v/>
      </c>
      <c r="L173" s="27"/>
      <c r="N173" s="2" t="n">
        <f aca="false">IF(I173="",0,MAX(0,MIN(N(F173),INDEX('Notes and sources'!$C$12:$D$12,1,'Start here'!$C$11)-(I173-N(F173)))))</f>
        <v>0</v>
      </c>
      <c r="O173" s="2" t="n">
        <f aca="false">IF(I173="",0,N(F173)-N173)</f>
        <v>0</v>
      </c>
      <c r="P173" s="2" t="str">
        <f aca="false">IF(A173="","",IF(AND(MONTH(A173)=4,DAY(A173)&lt;6),13,MOD(MONTH(A173)-4,12)+1))</f>
        <v/>
      </c>
    </row>
    <row r="174" customFormat="false" ht="15" hidden="false" customHeight="false" outlineLevel="0" collapsed="false">
      <c r="A174" s="21"/>
      <c r="B174" s="6"/>
      <c r="C174" s="6"/>
      <c r="D174" s="6"/>
      <c r="E174" s="6"/>
      <c r="F174" s="22"/>
      <c r="G174" s="23"/>
      <c r="H174" s="24" t="str">
        <f aca="false">IF(B174="","",IFERROR(INDEX('Start here'!$C$16:$C$20,MATCH(B174,'Start here'!$B$16:$B$20,0)),"Check vehicle"))</f>
        <v/>
      </c>
      <c r="I174" s="25" t="str">
        <f aca="false">IF(OR(F174="",H174&lt;&gt;"Car or van"),"",SUMIFS($F$6:F174,$H$6:H174,"Car or van"))</f>
        <v/>
      </c>
      <c r="J174" s="24" t="str">
        <f aca="false">IF(F174="","",IF(H174="Car or van",IF(O174=0,TEXT(INDEX('Notes and sources'!$C$6:$D$6,1,'Start here'!$C$11)*100,"0")&amp;"p",IF(N174=0,TEXT(INDEX('Notes and sources'!$C$7:$D$7,1,'Start here'!$C$11)*100,"0")&amp;"p",TEXT(INDEX('Notes and sources'!$C$6:$D$6,1,'Start here'!$C$11)*100,"0")&amp;"p/"&amp;TEXT(INDEX('Notes and sources'!$C$7:$D$7,1,'Start here'!$C$11)*100,"0")&amp;"p")),IF(H174="Motorcycle",TEXT(INDEX('Notes and sources'!$C$8:$D$8,1,'Start here'!$C$11)*100,"0")&amp;"p",IF(H174="Bicycle",TEXT(INDEX('Notes and sources'!$C$9:$D$9,1,'Start here'!$C$11)*100,"0")&amp;"p",""))))</f>
        <v/>
      </c>
      <c r="K174" s="26" t="str">
        <f aca="false">IF(F174="","",ROUND(IF(H174="Car or van",N174*INDEX('Notes and sources'!$C$6:$D$6,1,'Start here'!$C$11)+O174*INDEX('Notes and sources'!$C$7:$D$7,1,'Start here'!$C$11)+N(G174)*N(F174)*INDEX('Notes and sources'!$C$10:$D$10,1,'Start here'!$C$11),IF(H174="Motorcycle",N(F174)*INDEX('Notes and sources'!$C$8:$D$8,1,'Start here'!$C$11),IF(H174="Bicycle",N(F174)*INDEX('Notes and sources'!$C$9:$D$9,1,'Start here'!$C$11),0))),2))</f>
        <v/>
      </c>
      <c r="L174" s="27"/>
      <c r="N174" s="2" t="n">
        <f aca="false">IF(I174="",0,MAX(0,MIN(N(F174),INDEX('Notes and sources'!$C$12:$D$12,1,'Start here'!$C$11)-(I174-N(F174)))))</f>
        <v>0</v>
      </c>
      <c r="O174" s="2" t="n">
        <f aca="false">IF(I174="",0,N(F174)-N174)</f>
        <v>0</v>
      </c>
      <c r="P174" s="2" t="str">
        <f aca="false">IF(A174="","",IF(AND(MONTH(A174)=4,DAY(A174)&lt;6),13,MOD(MONTH(A174)-4,12)+1))</f>
        <v/>
      </c>
    </row>
    <row r="175" customFormat="false" ht="15" hidden="false" customHeight="false" outlineLevel="0" collapsed="false">
      <c r="A175" s="21"/>
      <c r="B175" s="6"/>
      <c r="C175" s="6"/>
      <c r="D175" s="6"/>
      <c r="E175" s="6"/>
      <c r="F175" s="22"/>
      <c r="G175" s="23"/>
      <c r="H175" s="24" t="str">
        <f aca="false">IF(B175="","",IFERROR(INDEX('Start here'!$C$16:$C$20,MATCH(B175,'Start here'!$B$16:$B$20,0)),"Check vehicle"))</f>
        <v/>
      </c>
      <c r="I175" s="25" t="str">
        <f aca="false">IF(OR(F175="",H175&lt;&gt;"Car or van"),"",SUMIFS($F$6:F175,$H$6:H175,"Car or van"))</f>
        <v/>
      </c>
      <c r="J175" s="24" t="str">
        <f aca="false">IF(F175="","",IF(H175="Car or van",IF(O175=0,TEXT(INDEX('Notes and sources'!$C$6:$D$6,1,'Start here'!$C$11)*100,"0")&amp;"p",IF(N175=0,TEXT(INDEX('Notes and sources'!$C$7:$D$7,1,'Start here'!$C$11)*100,"0")&amp;"p",TEXT(INDEX('Notes and sources'!$C$6:$D$6,1,'Start here'!$C$11)*100,"0")&amp;"p/"&amp;TEXT(INDEX('Notes and sources'!$C$7:$D$7,1,'Start here'!$C$11)*100,"0")&amp;"p")),IF(H175="Motorcycle",TEXT(INDEX('Notes and sources'!$C$8:$D$8,1,'Start here'!$C$11)*100,"0")&amp;"p",IF(H175="Bicycle",TEXT(INDEX('Notes and sources'!$C$9:$D$9,1,'Start here'!$C$11)*100,"0")&amp;"p",""))))</f>
        <v/>
      </c>
      <c r="K175" s="26" t="str">
        <f aca="false">IF(F175="","",ROUND(IF(H175="Car or van",N175*INDEX('Notes and sources'!$C$6:$D$6,1,'Start here'!$C$11)+O175*INDEX('Notes and sources'!$C$7:$D$7,1,'Start here'!$C$11)+N(G175)*N(F175)*INDEX('Notes and sources'!$C$10:$D$10,1,'Start here'!$C$11),IF(H175="Motorcycle",N(F175)*INDEX('Notes and sources'!$C$8:$D$8,1,'Start here'!$C$11),IF(H175="Bicycle",N(F175)*INDEX('Notes and sources'!$C$9:$D$9,1,'Start here'!$C$11),0))),2))</f>
        <v/>
      </c>
      <c r="L175" s="27"/>
      <c r="N175" s="2" t="n">
        <f aca="false">IF(I175="",0,MAX(0,MIN(N(F175),INDEX('Notes and sources'!$C$12:$D$12,1,'Start here'!$C$11)-(I175-N(F175)))))</f>
        <v>0</v>
      </c>
      <c r="O175" s="2" t="n">
        <f aca="false">IF(I175="",0,N(F175)-N175)</f>
        <v>0</v>
      </c>
      <c r="P175" s="2" t="str">
        <f aca="false">IF(A175="","",IF(AND(MONTH(A175)=4,DAY(A175)&lt;6),13,MOD(MONTH(A175)-4,12)+1))</f>
        <v/>
      </c>
    </row>
    <row r="176" customFormat="false" ht="15" hidden="false" customHeight="false" outlineLevel="0" collapsed="false">
      <c r="A176" s="21"/>
      <c r="B176" s="6"/>
      <c r="C176" s="6"/>
      <c r="D176" s="6"/>
      <c r="E176" s="6"/>
      <c r="F176" s="22"/>
      <c r="G176" s="23"/>
      <c r="H176" s="24" t="str">
        <f aca="false">IF(B176="","",IFERROR(INDEX('Start here'!$C$16:$C$20,MATCH(B176,'Start here'!$B$16:$B$20,0)),"Check vehicle"))</f>
        <v/>
      </c>
      <c r="I176" s="25" t="str">
        <f aca="false">IF(OR(F176="",H176&lt;&gt;"Car or van"),"",SUMIFS($F$6:F176,$H$6:H176,"Car or van"))</f>
        <v/>
      </c>
      <c r="J176" s="24" t="str">
        <f aca="false">IF(F176="","",IF(H176="Car or van",IF(O176=0,TEXT(INDEX('Notes and sources'!$C$6:$D$6,1,'Start here'!$C$11)*100,"0")&amp;"p",IF(N176=0,TEXT(INDEX('Notes and sources'!$C$7:$D$7,1,'Start here'!$C$11)*100,"0")&amp;"p",TEXT(INDEX('Notes and sources'!$C$6:$D$6,1,'Start here'!$C$11)*100,"0")&amp;"p/"&amp;TEXT(INDEX('Notes and sources'!$C$7:$D$7,1,'Start here'!$C$11)*100,"0")&amp;"p")),IF(H176="Motorcycle",TEXT(INDEX('Notes and sources'!$C$8:$D$8,1,'Start here'!$C$11)*100,"0")&amp;"p",IF(H176="Bicycle",TEXT(INDEX('Notes and sources'!$C$9:$D$9,1,'Start here'!$C$11)*100,"0")&amp;"p",""))))</f>
        <v/>
      </c>
      <c r="K176" s="26" t="str">
        <f aca="false">IF(F176="","",ROUND(IF(H176="Car or van",N176*INDEX('Notes and sources'!$C$6:$D$6,1,'Start here'!$C$11)+O176*INDEX('Notes and sources'!$C$7:$D$7,1,'Start here'!$C$11)+N(G176)*N(F176)*INDEX('Notes and sources'!$C$10:$D$10,1,'Start here'!$C$11),IF(H176="Motorcycle",N(F176)*INDEX('Notes and sources'!$C$8:$D$8,1,'Start here'!$C$11),IF(H176="Bicycle",N(F176)*INDEX('Notes and sources'!$C$9:$D$9,1,'Start here'!$C$11),0))),2))</f>
        <v/>
      </c>
      <c r="L176" s="27"/>
      <c r="N176" s="2" t="n">
        <f aca="false">IF(I176="",0,MAX(0,MIN(N(F176),INDEX('Notes and sources'!$C$12:$D$12,1,'Start here'!$C$11)-(I176-N(F176)))))</f>
        <v>0</v>
      </c>
      <c r="O176" s="2" t="n">
        <f aca="false">IF(I176="",0,N(F176)-N176)</f>
        <v>0</v>
      </c>
      <c r="P176" s="2" t="str">
        <f aca="false">IF(A176="","",IF(AND(MONTH(A176)=4,DAY(A176)&lt;6),13,MOD(MONTH(A176)-4,12)+1))</f>
        <v/>
      </c>
    </row>
    <row r="177" customFormat="false" ht="15" hidden="false" customHeight="false" outlineLevel="0" collapsed="false">
      <c r="A177" s="21"/>
      <c r="B177" s="6"/>
      <c r="C177" s="6"/>
      <c r="D177" s="6"/>
      <c r="E177" s="6"/>
      <c r="F177" s="22"/>
      <c r="G177" s="23"/>
      <c r="H177" s="24" t="str">
        <f aca="false">IF(B177="","",IFERROR(INDEX('Start here'!$C$16:$C$20,MATCH(B177,'Start here'!$B$16:$B$20,0)),"Check vehicle"))</f>
        <v/>
      </c>
      <c r="I177" s="25" t="str">
        <f aca="false">IF(OR(F177="",H177&lt;&gt;"Car or van"),"",SUMIFS($F$6:F177,$H$6:H177,"Car or van"))</f>
        <v/>
      </c>
      <c r="J177" s="24" t="str">
        <f aca="false">IF(F177="","",IF(H177="Car or van",IF(O177=0,TEXT(INDEX('Notes and sources'!$C$6:$D$6,1,'Start here'!$C$11)*100,"0")&amp;"p",IF(N177=0,TEXT(INDEX('Notes and sources'!$C$7:$D$7,1,'Start here'!$C$11)*100,"0")&amp;"p",TEXT(INDEX('Notes and sources'!$C$6:$D$6,1,'Start here'!$C$11)*100,"0")&amp;"p/"&amp;TEXT(INDEX('Notes and sources'!$C$7:$D$7,1,'Start here'!$C$11)*100,"0")&amp;"p")),IF(H177="Motorcycle",TEXT(INDEX('Notes and sources'!$C$8:$D$8,1,'Start here'!$C$11)*100,"0")&amp;"p",IF(H177="Bicycle",TEXT(INDEX('Notes and sources'!$C$9:$D$9,1,'Start here'!$C$11)*100,"0")&amp;"p",""))))</f>
        <v/>
      </c>
      <c r="K177" s="26" t="str">
        <f aca="false">IF(F177="","",ROUND(IF(H177="Car or van",N177*INDEX('Notes and sources'!$C$6:$D$6,1,'Start here'!$C$11)+O177*INDEX('Notes and sources'!$C$7:$D$7,1,'Start here'!$C$11)+N(G177)*N(F177)*INDEX('Notes and sources'!$C$10:$D$10,1,'Start here'!$C$11),IF(H177="Motorcycle",N(F177)*INDEX('Notes and sources'!$C$8:$D$8,1,'Start here'!$C$11),IF(H177="Bicycle",N(F177)*INDEX('Notes and sources'!$C$9:$D$9,1,'Start here'!$C$11),0))),2))</f>
        <v/>
      </c>
      <c r="L177" s="27"/>
      <c r="N177" s="2" t="n">
        <f aca="false">IF(I177="",0,MAX(0,MIN(N(F177),INDEX('Notes and sources'!$C$12:$D$12,1,'Start here'!$C$11)-(I177-N(F177)))))</f>
        <v>0</v>
      </c>
      <c r="O177" s="2" t="n">
        <f aca="false">IF(I177="",0,N(F177)-N177)</f>
        <v>0</v>
      </c>
      <c r="P177" s="2" t="str">
        <f aca="false">IF(A177="","",IF(AND(MONTH(A177)=4,DAY(A177)&lt;6),13,MOD(MONTH(A177)-4,12)+1))</f>
        <v/>
      </c>
    </row>
    <row r="178" customFormat="false" ht="15" hidden="false" customHeight="false" outlineLevel="0" collapsed="false">
      <c r="A178" s="21"/>
      <c r="B178" s="6"/>
      <c r="C178" s="6"/>
      <c r="D178" s="6"/>
      <c r="E178" s="6"/>
      <c r="F178" s="22"/>
      <c r="G178" s="23"/>
      <c r="H178" s="24" t="str">
        <f aca="false">IF(B178="","",IFERROR(INDEX('Start here'!$C$16:$C$20,MATCH(B178,'Start here'!$B$16:$B$20,0)),"Check vehicle"))</f>
        <v/>
      </c>
      <c r="I178" s="25" t="str">
        <f aca="false">IF(OR(F178="",H178&lt;&gt;"Car or van"),"",SUMIFS($F$6:F178,$H$6:H178,"Car or van"))</f>
        <v/>
      </c>
      <c r="J178" s="24" t="str">
        <f aca="false">IF(F178="","",IF(H178="Car or van",IF(O178=0,TEXT(INDEX('Notes and sources'!$C$6:$D$6,1,'Start here'!$C$11)*100,"0")&amp;"p",IF(N178=0,TEXT(INDEX('Notes and sources'!$C$7:$D$7,1,'Start here'!$C$11)*100,"0")&amp;"p",TEXT(INDEX('Notes and sources'!$C$6:$D$6,1,'Start here'!$C$11)*100,"0")&amp;"p/"&amp;TEXT(INDEX('Notes and sources'!$C$7:$D$7,1,'Start here'!$C$11)*100,"0")&amp;"p")),IF(H178="Motorcycle",TEXT(INDEX('Notes and sources'!$C$8:$D$8,1,'Start here'!$C$11)*100,"0")&amp;"p",IF(H178="Bicycle",TEXT(INDEX('Notes and sources'!$C$9:$D$9,1,'Start here'!$C$11)*100,"0")&amp;"p",""))))</f>
        <v/>
      </c>
      <c r="K178" s="26" t="str">
        <f aca="false">IF(F178="","",ROUND(IF(H178="Car or van",N178*INDEX('Notes and sources'!$C$6:$D$6,1,'Start here'!$C$11)+O178*INDEX('Notes and sources'!$C$7:$D$7,1,'Start here'!$C$11)+N(G178)*N(F178)*INDEX('Notes and sources'!$C$10:$D$10,1,'Start here'!$C$11),IF(H178="Motorcycle",N(F178)*INDEX('Notes and sources'!$C$8:$D$8,1,'Start here'!$C$11),IF(H178="Bicycle",N(F178)*INDEX('Notes and sources'!$C$9:$D$9,1,'Start here'!$C$11),0))),2))</f>
        <v/>
      </c>
      <c r="L178" s="27"/>
      <c r="N178" s="2" t="n">
        <f aca="false">IF(I178="",0,MAX(0,MIN(N(F178),INDEX('Notes and sources'!$C$12:$D$12,1,'Start here'!$C$11)-(I178-N(F178)))))</f>
        <v>0</v>
      </c>
      <c r="O178" s="2" t="n">
        <f aca="false">IF(I178="",0,N(F178)-N178)</f>
        <v>0</v>
      </c>
      <c r="P178" s="2" t="str">
        <f aca="false">IF(A178="","",IF(AND(MONTH(A178)=4,DAY(A178)&lt;6),13,MOD(MONTH(A178)-4,12)+1))</f>
        <v/>
      </c>
    </row>
    <row r="179" customFormat="false" ht="15" hidden="false" customHeight="false" outlineLevel="0" collapsed="false">
      <c r="A179" s="21"/>
      <c r="B179" s="6"/>
      <c r="C179" s="6"/>
      <c r="D179" s="6"/>
      <c r="E179" s="6"/>
      <c r="F179" s="22"/>
      <c r="G179" s="23"/>
      <c r="H179" s="24" t="str">
        <f aca="false">IF(B179="","",IFERROR(INDEX('Start here'!$C$16:$C$20,MATCH(B179,'Start here'!$B$16:$B$20,0)),"Check vehicle"))</f>
        <v/>
      </c>
      <c r="I179" s="25" t="str">
        <f aca="false">IF(OR(F179="",H179&lt;&gt;"Car or van"),"",SUMIFS($F$6:F179,$H$6:H179,"Car or van"))</f>
        <v/>
      </c>
      <c r="J179" s="24" t="str">
        <f aca="false">IF(F179="","",IF(H179="Car or van",IF(O179=0,TEXT(INDEX('Notes and sources'!$C$6:$D$6,1,'Start here'!$C$11)*100,"0")&amp;"p",IF(N179=0,TEXT(INDEX('Notes and sources'!$C$7:$D$7,1,'Start here'!$C$11)*100,"0")&amp;"p",TEXT(INDEX('Notes and sources'!$C$6:$D$6,1,'Start here'!$C$11)*100,"0")&amp;"p/"&amp;TEXT(INDEX('Notes and sources'!$C$7:$D$7,1,'Start here'!$C$11)*100,"0")&amp;"p")),IF(H179="Motorcycle",TEXT(INDEX('Notes and sources'!$C$8:$D$8,1,'Start here'!$C$11)*100,"0")&amp;"p",IF(H179="Bicycle",TEXT(INDEX('Notes and sources'!$C$9:$D$9,1,'Start here'!$C$11)*100,"0")&amp;"p",""))))</f>
        <v/>
      </c>
      <c r="K179" s="26" t="str">
        <f aca="false">IF(F179="","",ROUND(IF(H179="Car or van",N179*INDEX('Notes and sources'!$C$6:$D$6,1,'Start here'!$C$11)+O179*INDEX('Notes and sources'!$C$7:$D$7,1,'Start here'!$C$11)+N(G179)*N(F179)*INDEX('Notes and sources'!$C$10:$D$10,1,'Start here'!$C$11),IF(H179="Motorcycle",N(F179)*INDEX('Notes and sources'!$C$8:$D$8,1,'Start here'!$C$11),IF(H179="Bicycle",N(F179)*INDEX('Notes and sources'!$C$9:$D$9,1,'Start here'!$C$11),0))),2))</f>
        <v/>
      </c>
      <c r="L179" s="27"/>
      <c r="N179" s="2" t="n">
        <f aca="false">IF(I179="",0,MAX(0,MIN(N(F179),INDEX('Notes and sources'!$C$12:$D$12,1,'Start here'!$C$11)-(I179-N(F179)))))</f>
        <v>0</v>
      </c>
      <c r="O179" s="2" t="n">
        <f aca="false">IF(I179="",0,N(F179)-N179)</f>
        <v>0</v>
      </c>
      <c r="P179" s="2" t="str">
        <f aca="false">IF(A179="","",IF(AND(MONTH(A179)=4,DAY(A179)&lt;6),13,MOD(MONTH(A179)-4,12)+1))</f>
        <v/>
      </c>
    </row>
    <row r="180" customFormat="false" ht="15" hidden="false" customHeight="false" outlineLevel="0" collapsed="false">
      <c r="A180" s="21"/>
      <c r="B180" s="6"/>
      <c r="C180" s="6"/>
      <c r="D180" s="6"/>
      <c r="E180" s="6"/>
      <c r="F180" s="22"/>
      <c r="G180" s="23"/>
      <c r="H180" s="24" t="str">
        <f aca="false">IF(B180="","",IFERROR(INDEX('Start here'!$C$16:$C$20,MATCH(B180,'Start here'!$B$16:$B$20,0)),"Check vehicle"))</f>
        <v/>
      </c>
      <c r="I180" s="25" t="str">
        <f aca="false">IF(OR(F180="",H180&lt;&gt;"Car or van"),"",SUMIFS($F$6:F180,$H$6:H180,"Car or van"))</f>
        <v/>
      </c>
      <c r="J180" s="24" t="str">
        <f aca="false">IF(F180="","",IF(H180="Car or van",IF(O180=0,TEXT(INDEX('Notes and sources'!$C$6:$D$6,1,'Start here'!$C$11)*100,"0")&amp;"p",IF(N180=0,TEXT(INDEX('Notes and sources'!$C$7:$D$7,1,'Start here'!$C$11)*100,"0")&amp;"p",TEXT(INDEX('Notes and sources'!$C$6:$D$6,1,'Start here'!$C$11)*100,"0")&amp;"p/"&amp;TEXT(INDEX('Notes and sources'!$C$7:$D$7,1,'Start here'!$C$11)*100,"0")&amp;"p")),IF(H180="Motorcycle",TEXT(INDEX('Notes and sources'!$C$8:$D$8,1,'Start here'!$C$11)*100,"0")&amp;"p",IF(H180="Bicycle",TEXT(INDEX('Notes and sources'!$C$9:$D$9,1,'Start here'!$C$11)*100,"0")&amp;"p",""))))</f>
        <v/>
      </c>
      <c r="K180" s="26" t="str">
        <f aca="false">IF(F180="","",ROUND(IF(H180="Car or van",N180*INDEX('Notes and sources'!$C$6:$D$6,1,'Start here'!$C$11)+O180*INDEX('Notes and sources'!$C$7:$D$7,1,'Start here'!$C$11)+N(G180)*N(F180)*INDEX('Notes and sources'!$C$10:$D$10,1,'Start here'!$C$11),IF(H180="Motorcycle",N(F180)*INDEX('Notes and sources'!$C$8:$D$8,1,'Start here'!$C$11),IF(H180="Bicycle",N(F180)*INDEX('Notes and sources'!$C$9:$D$9,1,'Start here'!$C$11),0))),2))</f>
        <v/>
      </c>
      <c r="L180" s="27"/>
      <c r="N180" s="2" t="n">
        <f aca="false">IF(I180="",0,MAX(0,MIN(N(F180),INDEX('Notes and sources'!$C$12:$D$12,1,'Start here'!$C$11)-(I180-N(F180)))))</f>
        <v>0</v>
      </c>
      <c r="O180" s="2" t="n">
        <f aca="false">IF(I180="",0,N(F180)-N180)</f>
        <v>0</v>
      </c>
      <c r="P180" s="2" t="str">
        <f aca="false">IF(A180="","",IF(AND(MONTH(A180)=4,DAY(A180)&lt;6),13,MOD(MONTH(A180)-4,12)+1))</f>
        <v/>
      </c>
    </row>
    <row r="181" customFormat="false" ht="15" hidden="false" customHeight="false" outlineLevel="0" collapsed="false">
      <c r="A181" s="21"/>
      <c r="B181" s="6"/>
      <c r="C181" s="6"/>
      <c r="D181" s="6"/>
      <c r="E181" s="6"/>
      <c r="F181" s="22"/>
      <c r="G181" s="23"/>
      <c r="H181" s="24" t="str">
        <f aca="false">IF(B181="","",IFERROR(INDEX('Start here'!$C$16:$C$20,MATCH(B181,'Start here'!$B$16:$B$20,0)),"Check vehicle"))</f>
        <v/>
      </c>
      <c r="I181" s="25" t="str">
        <f aca="false">IF(OR(F181="",H181&lt;&gt;"Car or van"),"",SUMIFS($F$6:F181,$H$6:H181,"Car or van"))</f>
        <v/>
      </c>
      <c r="J181" s="24" t="str">
        <f aca="false">IF(F181="","",IF(H181="Car or van",IF(O181=0,TEXT(INDEX('Notes and sources'!$C$6:$D$6,1,'Start here'!$C$11)*100,"0")&amp;"p",IF(N181=0,TEXT(INDEX('Notes and sources'!$C$7:$D$7,1,'Start here'!$C$11)*100,"0")&amp;"p",TEXT(INDEX('Notes and sources'!$C$6:$D$6,1,'Start here'!$C$11)*100,"0")&amp;"p/"&amp;TEXT(INDEX('Notes and sources'!$C$7:$D$7,1,'Start here'!$C$11)*100,"0")&amp;"p")),IF(H181="Motorcycle",TEXT(INDEX('Notes and sources'!$C$8:$D$8,1,'Start here'!$C$11)*100,"0")&amp;"p",IF(H181="Bicycle",TEXT(INDEX('Notes and sources'!$C$9:$D$9,1,'Start here'!$C$11)*100,"0")&amp;"p",""))))</f>
        <v/>
      </c>
      <c r="K181" s="26" t="str">
        <f aca="false">IF(F181="","",ROUND(IF(H181="Car or van",N181*INDEX('Notes and sources'!$C$6:$D$6,1,'Start here'!$C$11)+O181*INDEX('Notes and sources'!$C$7:$D$7,1,'Start here'!$C$11)+N(G181)*N(F181)*INDEX('Notes and sources'!$C$10:$D$10,1,'Start here'!$C$11),IF(H181="Motorcycle",N(F181)*INDEX('Notes and sources'!$C$8:$D$8,1,'Start here'!$C$11),IF(H181="Bicycle",N(F181)*INDEX('Notes and sources'!$C$9:$D$9,1,'Start here'!$C$11),0))),2))</f>
        <v/>
      </c>
      <c r="L181" s="27"/>
      <c r="N181" s="2" t="n">
        <f aca="false">IF(I181="",0,MAX(0,MIN(N(F181),INDEX('Notes and sources'!$C$12:$D$12,1,'Start here'!$C$11)-(I181-N(F181)))))</f>
        <v>0</v>
      </c>
      <c r="O181" s="2" t="n">
        <f aca="false">IF(I181="",0,N(F181)-N181)</f>
        <v>0</v>
      </c>
      <c r="P181" s="2" t="str">
        <f aca="false">IF(A181="","",IF(AND(MONTH(A181)=4,DAY(A181)&lt;6),13,MOD(MONTH(A181)-4,12)+1))</f>
        <v/>
      </c>
    </row>
    <row r="182" customFormat="false" ht="15" hidden="false" customHeight="false" outlineLevel="0" collapsed="false">
      <c r="A182" s="21"/>
      <c r="B182" s="6"/>
      <c r="C182" s="6"/>
      <c r="D182" s="6"/>
      <c r="E182" s="6"/>
      <c r="F182" s="22"/>
      <c r="G182" s="23"/>
      <c r="H182" s="24" t="str">
        <f aca="false">IF(B182="","",IFERROR(INDEX('Start here'!$C$16:$C$20,MATCH(B182,'Start here'!$B$16:$B$20,0)),"Check vehicle"))</f>
        <v/>
      </c>
      <c r="I182" s="25" t="str">
        <f aca="false">IF(OR(F182="",H182&lt;&gt;"Car or van"),"",SUMIFS($F$6:F182,$H$6:H182,"Car or van"))</f>
        <v/>
      </c>
      <c r="J182" s="24" t="str">
        <f aca="false">IF(F182="","",IF(H182="Car or van",IF(O182=0,TEXT(INDEX('Notes and sources'!$C$6:$D$6,1,'Start here'!$C$11)*100,"0")&amp;"p",IF(N182=0,TEXT(INDEX('Notes and sources'!$C$7:$D$7,1,'Start here'!$C$11)*100,"0")&amp;"p",TEXT(INDEX('Notes and sources'!$C$6:$D$6,1,'Start here'!$C$11)*100,"0")&amp;"p/"&amp;TEXT(INDEX('Notes and sources'!$C$7:$D$7,1,'Start here'!$C$11)*100,"0")&amp;"p")),IF(H182="Motorcycle",TEXT(INDEX('Notes and sources'!$C$8:$D$8,1,'Start here'!$C$11)*100,"0")&amp;"p",IF(H182="Bicycle",TEXT(INDEX('Notes and sources'!$C$9:$D$9,1,'Start here'!$C$11)*100,"0")&amp;"p",""))))</f>
        <v/>
      </c>
      <c r="K182" s="26" t="str">
        <f aca="false">IF(F182="","",ROUND(IF(H182="Car or van",N182*INDEX('Notes and sources'!$C$6:$D$6,1,'Start here'!$C$11)+O182*INDEX('Notes and sources'!$C$7:$D$7,1,'Start here'!$C$11)+N(G182)*N(F182)*INDEX('Notes and sources'!$C$10:$D$10,1,'Start here'!$C$11),IF(H182="Motorcycle",N(F182)*INDEX('Notes and sources'!$C$8:$D$8,1,'Start here'!$C$11),IF(H182="Bicycle",N(F182)*INDEX('Notes and sources'!$C$9:$D$9,1,'Start here'!$C$11),0))),2))</f>
        <v/>
      </c>
      <c r="L182" s="27"/>
      <c r="N182" s="2" t="n">
        <f aca="false">IF(I182="",0,MAX(0,MIN(N(F182),INDEX('Notes and sources'!$C$12:$D$12,1,'Start here'!$C$11)-(I182-N(F182)))))</f>
        <v>0</v>
      </c>
      <c r="O182" s="2" t="n">
        <f aca="false">IF(I182="",0,N(F182)-N182)</f>
        <v>0</v>
      </c>
      <c r="P182" s="2" t="str">
        <f aca="false">IF(A182="","",IF(AND(MONTH(A182)=4,DAY(A182)&lt;6),13,MOD(MONTH(A182)-4,12)+1))</f>
        <v/>
      </c>
    </row>
    <row r="183" customFormat="false" ht="15" hidden="false" customHeight="false" outlineLevel="0" collapsed="false">
      <c r="A183" s="21"/>
      <c r="B183" s="6"/>
      <c r="C183" s="6"/>
      <c r="D183" s="6"/>
      <c r="E183" s="6"/>
      <c r="F183" s="22"/>
      <c r="G183" s="23"/>
      <c r="H183" s="24" t="str">
        <f aca="false">IF(B183="","",IFERROR(INDEX('Start here'!$C$16:$C$20,MATCH(B183,'Start here'!$B$16:$B$20,0)),"Check vehicle"))</f>
        <v/>
      </c>
      <c r="I183" s="25" t="str">
        <f aca="false">IF(OR(F183="",H183&lt;&gt;"Car or van"),"",SUMIFS($F$6:F183,$H$6:H183,"Car or van"))</f>
        <v/>
      </c>
      <c r="J183" s="24" t="str">
        <f aca="false">IF(F183="","",IF(H183="Car or van",IF(O183=0,TEXT(INDEX('Notes and sources'!$C$6:$D$6,1,'Start here'!$C$11)*100,"0")&amp;"p",IF(N183=0,TEXT(INDEX('Notes and sources'!$C$7:$D$7,1,'Start here'!$C$11)*100,"0")&amp;"p",TEXT(INDEX('Notes and sources'!$C$6:$D$6,1,'Start here'!$C$11)*100,"0")&amp;"p/"&amp;TEXT(INDEX('Notes and sources'!$C$7:$D$7,1,'Start here'!$C$11)*100,"0")&amp;"p")),IF(H183="Motorcycle",TEXT(INDEX('Notes and sources'!$C$8:$D$8,1,'Start here'!$C$11)*100,"0")&amp;"p",IF(H183="Bicycle",TEXT(INDEX('Notes and sources'!$C$9:$D$9,1,'Start here'!$C$11)*100,"0")&amp;"p",""))))</f>
        <v/>
      </c>
      <c r="K183" s="26" t="str">
        <f aca="false">IF(F183="","",ROUND(IF(H183="Car or van",N183*INDEX('Notes and sources'!$C$6:$D$6,1,'Start here'!$C$11)+O183*INDEX('Notes and sources'!$C$7:$D$7,1,'Start here'!$C$11)+N(G183)*N(F183)*INDEX('Notes and sources'!$C$10:$D$10,1,'Start here'!$C$11),IF(H183="Motorcycle",N(F183)*INDEX('Notes and sources'!$C$8:$D$8,1,'Start here'!$C$11),IF(H183="Bicycle",N(F183)*INDEX('Notes and sources'!$C$9:$D$9,1,'Start here'!$C$11),0))),2))</f>
        <v/>
      </c>
      <c r="L183" s="27"/>
      <c r="N183" s="2" t="n">
        <f aca="false">IF(I183="",0,MAX(0,MIN(N(F183),INDEX('Notes and sources'!$C$12:$D$12,1,'Start here'!$C$11)-(I183-N(F183)))))</f>
        <v>0</v>
      </c>
      <c r="O183" s="2" t="n">
        <f aca="false">IF(I183="",0,N(F183)-N183)</f>
        <v>0</v>
      </c>
      <c r="P183" s="2" t="str">
        <f aca="false">IF(A183="","",IF(AND(MONTH(A183)=4,DAY(A183)&lt;6),13,MOD(MONTH(A183)-4,12)+1))</f>
        <v/>
      </c>
    </row>
    <row r="184" customFormat="false" ht="15" hidden="false" customHeight="false" outlineLevel="0" collapsed="false">
      <c r="A184" s="21"/>
      <c r="B184" s="6"/>
      <c r="C184" s="6"/>
      <c r="D184" s="6"/>
      <c r="E184" s="6"/>
      <c r="F184" s="22"/>
      <c r="G184" s="23"/>
      <c r="H184" s="24" t="str">
        <f aca="false">IF(B184="","",IFERROR(INDEX('Start here'!$C$16:$C$20,MATCH(B184,'Start here'!$B$16:$B$20,0)),"Check vehicle"))</f>
        <v/>
      </c>
      <c r="I184" s="25" t="str">
        <f aca="false">IF(OR(F184="",H184&lt;&gt;"Car or van"),"",SUMIFS($F$6:F184,$H$6:H184,"Car or van"))</f>
        <v/>
      </c>
      <c r="J184" s="24" t="str">
        <f aca="false">IF(F184="","",IF(H184="Car or van",IF(O184=0,TEXT(INDEX('Notes and sources'!$C$6:$D$6,1,'Start here'!$C$11)*100,"0")&amp;"p",IF(N184=0,TEXT(INDEX('Notes and sources'!$C$7:$D$7,1,'Start here'!$C$11)*100,"0")&amp;"p",TEXT(INDEX('Notes and sources'!$C$6:$D$6,1,'Start here'!$C$11)*100,"0")&amp;"p/"&amp;TEXT(INDEX('Notes and sources'!$C$7:$D$7,1,'Start here'!$C$11)*100,"0")&amp;"p")),IF(H184="Motorcycle",TEXT(INDEX('Notes and sources'!$C$8:$D$8,1,'Start here'!$C$11)*100,"0")&amp;"p",IF(H184="Bicycle",TEXT(INDEX('Notes and sources'!$C$9:$D$9,1,'Start here'!$C$11)*100,"0")&amp;"p",""))))</f>
        <v/>
      </c>
      <c r="K184" s="26" t="str">
        <f aca="false">IF(F184="","",ROUND(IF(H184="Car or van",N184*INDEX('Notes and sources'!$C$6:$D$6,1,'Start here'!$C$11)+O184*INDEX('Notes and sources'!$C$7:$D$7,1,'Start here'!$C$11)+N(G184)*N(F184)*INDEX('Notes and sources'!$C$10:$D$10,1,'Start here'!$C$11),IF(H184="Motorcycle",N(F184)*INDEX('Notes and sources'!$C$8:$D$8,1,'Start here'!$C$11),IF(H184="Bicycle",N(F184)*INDEX('Notes and sources'!$C$9:$D$9,1,'Start here'!$C$11),0))),2))</f>
        <v/>
      </c>
      <c r="L184" s="27"/>
      <c r="N184" s="2" t="n">
        <f aca="false">IF(I184="",0,MAX(0,MIN(N(F184),INDEX('Notes and sources'!$C$12:$D$12,1,'Start here'!$C$11)-(I184-N(F184)))))</f>
        <v>0</v>
      </c>
      <c r="O184" s="2" t="n">
        <f aca="false">IF(I184="",0,N(F184)-N184)</f>
        <v>0</v>
      </c>
      <c r="P184" s="2" t="str">
        <f aca="false">IF(A184="","",IF(AND(MONTH(A184)=4,DAY(A184)&lt;6),13,MOD(MONTH(A184)-4,12)+1))</f>
        <v/>
      </c>
    </row>
    <row r="185" customFormat="false" ht="15" hidden="false" customHeight="false" outlineLevel="0" collapsed="false">
      <c r="A185" s="21"/>
      <c r="B185" s="6"/>
      <c r="C185" s="6"/>
      <c r="D185" s="6"/>
      <c r="E185" s="6"/>
      <c r="F185" s="22"/>
      <c r="G185" s="23"/>
      <c r="H185" s="24" t="str">
        <f aca="false">IF(B185="","",IFERROR(INDEX('Start here'!$C$16:$C$20,MATCH(B185,'Start here'!$B$16:$B$20,0)),"Check vehicle"))</f>
        <v/>
      </c>
      <c r="I185" s="25" t="str">
        <f aca="false">IF(OR(F185="",H185&lt;&gt;"Car or van"),"",SUMIFS($F$6:F185,$H$6:H185,"Car or van"))</f>
        <v/>
      </c>
      <c r="J185" s="24" t="str">
        <f aca="false">IF(F185="","",IF(H185="Car or van",IF(O185=0,TEXT(INDEX('Notes and sources'!$C$6:$D$6,1,'Start here'!$C$11)*100,"0")&amp;"p",IF(N185=0,TEXT(INDEX('Notes and sources'!$C$7:$D$7,1,'Start here'!$C$11)*100,"0")&amp;"p",TEXT(INDEX('Notes and sources'!$C$6:$D$6,1,'Start here'!$C$11)*100,"0")&amp;"p/"&amp;TEXT(INDEX('Notes and sources'!$C$7:$D$7,1,'Start here'!$C$11)*100,"0")&amp;"p")),IF(H185="Motorcycle",TEXT(INDEX('Notes and sources'!$C$8:$D$8,1,'Start here'!$C$11)*100,"0")&amp;"p",IF(H185="Bicycle",TEXT(INDEX('Notes and sources'!$C$9:$D$9,1,'Start here'!$C$11)*100,"0")&amp;"p",""))))</f>
        <v/>
      </c>
      <c r="K185" s="26" t="str">
        <f aca="false">IF(F185="","",ROUND(IF(H185="Car or van",N185*INDEX('Notes and sources'!$C$6:$D$6,1,'Start here'!$C$11)+O185*INDEX('Notes and sources'!$C$7:$D$7,1,'Start here'!$C$11)+N(G185)*N(F185)*INDEX('Notes and sources'!$C$10:$D$10,1,'Start here'!$C$11),IF(H185="Motorcycle",N(F185)*INDEX('Notes and sources'!$C$8:$D$8,1,'Start here'!$C$11),IF(H185="Bicycle",N(F185)*INDEX('Notes and sources'!$C$9:$D$9,1,'Start here'!$C$11),0))),2))</f>
        <v/>
      </c>
      <c r="L185" s="27"/>
      <c r="N185" s="2" t="n">
        <f aca="false">IF(I185="",0,MAX(0,MIN(N(F185),INDEX('Notes and sources'!$C$12:$D$12,1,'Start here'!$C$11)-(I185-N(F185)))))</f>
        <v>0</v>
      </c>
      <c r="O185" s="2" t="n">
        <f aca="false">IF(I185="",0,N(F185)-N185)</f>
        <v>0</v>
      </c>
      <c r="P185" s="2" t="str">
        <f aca="false">IF(A185="","",IF(AND(MONTH(A185)=4,DAY(A185)&lt;6),13,MOD(MONTH(A185)-4,12)+1))</f>
        <v/>
      </c>
    </row>
    <row r="186" customFormat="false" ht="15" hidden="false" customHeight="false" outlineLevel="0" collapsed="false">
      <c r="A186" s="21"/>
      <c r="B186" s="6"/>
      <c r="C186" s="6"/>
      <c r="D186" s="6"/>
      <c r="E186" s="6"/>
      <c r="F186" s="22"/>
      <c r="G186" s="23"/>
      <c r="H186" s="24" t="str">
        <f aca="false">IF(B186="","",IFERROR(INDEX('Start here'!$C$16:$C$20,MATCH(B186,'Start here'!$B$16:$B$20,0)),"Check vehicle"))</f>
        <v/>
      </c>
      <c r="I186" s="25" t="str">
        <f aca="false">IF(OR(F186="",H186&lt;&gt;"Car or van"),"",SUMIFS($F$6:F186,$H$6:H186,"Car or van"))</f>
        <v/>
      </c>
      <c r="J186" s="24" t="str">
        <f aca="false">IF(F186="","",IF(H186="Car or van",IF(O186=0,TEXT(INDEX('Notes and sources'!$C$6:$D$6,1,'Start here'!$C$11)*100,"0")&amp;"p",IF(N186=0,TEXT(INDEX('Notes and sources'!$C$7:$D$7,1,'Start here'!$C$11)*100,"0")&amp;"p",TEXT(INDEX('Notes and sources'!$C$6:$D$6,1,'Start here'!$C$11)*100,"0")&amp;"p/"&amp;TEXT(INDEX('Notes and sources'!$C$7:$D$7,1,'Start here'!$C$11)*100,"0")&amp;"p")),IF(H186="Motorcycle",TEXT(INDEX('Notes and sources'!$C$8:$D$8,1,'Start here'!$C$11)*100,"0")&amp;"p",IF(H186="Bicycle",TEXT(INDEX('Notes and sources'!$C$9:$D$9,1,'Start here'!$C$11)*100,"0")&amp;"p",""))))</f>
        <v/>
      </c>
      <c r="K186" s="26" t="str">
        <f aca="false">IF(F186="","",ROUND(IF(H186="Car or van",N186*INDEX('Notes and sources'!$C$6:$D$6,1,'Start here'!$C$11)+O186*INDEX('Notes and sources'!$C$7:$D$7,1,'Start here'!$C$11)+N(G186)*N(F186)*INDEX('Notes and sources'!$C$10:$D$10,1,'Start here'!$C$11),IF(H186="Motorcycle",N(F186)*INDEX('Notes and sources'!$C$8:$D$8,1,'Start here'!$C$11),IF(H186="Bicycle",N(F186)*INDEX('Notes and sources'!$C$9:$D$9,1,'Start here'!$C$11),0))),2))</f>
        <v/>
      </c>
      <c r="L186" s="27"/>
      <c r="N186" s="2" t="n">
        <f aca="false">IF(I186="",0,MAX(0,MIN(N(F186),INDEX('Notes and sources'!$C$12:$D$12,1,'Start here'!$C$11)-(I186-N(F186)))))</f>
        <v>0</v>
      </c>
      <c r="O186" s="2" t="n">
        <f aca="false">IF(I186="",0,N(F186)-N186)</f>
        <v>0</v>
      </c>
      <c r="P186" s="2" t="str">
        <f aca="false">IF(A186="","",IF(AND(MONTH(A186)=4,DAY(A186)&lt;6),13,MOD(MONTH(A186)-4,12)+1))</f>
        <v/>
      </c>
    </row>
    <row r="187" customFormat="false" ht="15" hidden="false" customHeight="false" outlineLevel="0" collapsed="false">
      <c r="A187" s="21"/>
      <c r="B187" s="6"/>
      <c r="C187" s="6"/>
      <c r="D187" s="6"/>
      <c r="E187" s="6"/>
      <c r="F187" s="22"/>
      <c r="G187" s="23"/>
      <c r="H187" s="24" t="str">
        <f aca="false">IF(B187="","",IFERROR(INDEX('Start here'!$C$16:$C$20,MATCH(B187,'Start here'!$B$16:$B$20,0)),"Check vehicle"))</f>
        <v/>
      </c>
      <c r="I187" s="25" t="str">
        <f aca="false">IF(OR(F187="",H187&lt;&gt;"Car or van"),"",SUMIFS($F$6:F187,$H$6:H187,"Car or van"))</f>
        <v/>
      </c>
      <c r="J187" s="24" t="str">
        <f aca="false">IF(F187="","",IF(H187="Car or van",IF(O187=0,TEXT(INDEX('Notes and sources'!$C$6:$D$6,1,'Start here'!$C$11)*100,"0")&amp;"p",IF(N187=0,TEXT(INDEX('Notes and sources'!$C$7:$D$7,1,'Start here'!$C$11)*100,"0")&amp;"p",TEXT(INDEX('Notes and sources'!$C$6:$D$6,1,'Start here'!$C$11)*100,"0")&amp;"p/"&amp;TEXT(INDEX('Notes and sources'!$C$7:$D$7,1,'Start here'!$C$11)*100,"0")&amp;"p")),IF(H187="Motorcycle",TEXT(INDEX('Notes and sources'!$C$8:$D$8,1,'Start here'!$C$11)*100,"0")&amp;"p",IF(H187="Bicycle",TEXT(INDEX('Notes and sources'!$C$9:$D$9,1,'Start here'!$C$11)*100,"0")&amp;"p",""))))</f>
        <v/>
      </c>
      <c r="K187" s="26" t="str">
        <f aca="false">IF(F187="","",ROUND(IF(H187="Car or van",N187*INDEX('Notes and sources'!$C$6:$D$6,1,'Start here'!$C$11)+O187*INDEX('Notes and sources'!$C$7:$D$7,1,'Start here'!$C$11)+N(G187)*N(F187)*INDEX('Notes and sources'!$C$10:$D$10,1,'Start here'!$C$11),IF(H187="Motorcycle",N(F187)*INDEX('Notes and sources'!$C$8:$D$8,1,'Start here'!$C$11),IF(H187="Bicycle",N(F187)*INDEX('Notes and sources'!$C$9:$D$9,1,'Start here'!$C$11),0))),2))</f>
        <v/>
      </c>
      <c r="L187" s="27"/>
      <c r="N187" s="2" t="n">
        <f aca="false">IF(I187="",0,MAX(0,MIN(N(F187),INDEX('Notes and sources'!$C$12:$D$12,1,'Start here'!$C$11)-(I187-N(F187)))))</f>
        <v>0</v>
      </c>
      <c r="O187" s="2" t="n">
        <f aca="false">IF(I187="",0,N(F187)-N187)</f>
        <v>0</v>
      </c>
      <c r="P187" s="2" t="str">
        <f aca="false">IF(A187="","",IF(AND(MONTH(A187)=4,DAY(A187)&lt;6),13,MOD(MONTH(A187)-4,12)+1))</f>
        <v/>
      </c>
    </row>
    <row r="188" customFormat="false" ht="15" hidden="false" customHeight="false" outlineLevel="0" collapsed="false">
      <c r="A188" s="21"/>
      <c r="B188" s="6"/>
      <c r="C188" s="6"/>
      <c r="D188" s="6"/>
      <c r="E188" s="6"/>
      <c r="F188" s="22"/>
      <c r="G188" s="23"/>
      <c r="H188" s="24" t="str">
        <f aca="false">IF(B188="","",IFERROR(INDEX('Start here'!$C$16:$C$20,MATCH(B188,'Start here'!$B$16:$B$20,0)),"Check vehicle"))</f>
        <v/>
      </c>
      <c r="I188" s="25" t="str">
        <f aca="false">IF(OR(F188="",H188&lt;&gt;"Car or van"),"",SUMIFS($F$6:F188,$H$6:H188,"Car or van"))</f>
        <v/>
      </c>
      <c r="J188" s="24" t="str">
        <f aca="false">IF(F188="","",IF(H188="Car or van",IF(O188=0,TEXT(INDEX('Notes and sources'!$C$6:$D$6,1,'Start here'!$C$11)*100,"0")&amp;"p",IF(N188=0,TEXT(INDEX('Notes and sources'!$C$7:$D$7,1,'Start here'!$C$11)*100,"0")&amp;"p",TEXT(INDEX('Notes and sources'!$C$6:$D$6,1,'Start here'!$C$11)*100,"0")&amp;"p/"&amp;TEXT(INDEX('Notes and sources'!$C$7:$D$7,1,'Start here'!$C$11)*100,"0")&amp;"p")),IF(H188="Motorcycle",TEXT(INDEX('Notes and sources'!$C$8:$D$8,1,'Start here'!$C$11)*100,"0")&amp;"p",IF(H188="Bicycle",TEXT(INDEX('Notes and sources'!$C$9:$D$9,1,'Start here'!$C$11)*100,"0")&amp;"p",""))))</f>
        <v/>
      </c>
      <c r="K188" s="26" t="str">
        <f aca="false">IF(F188="","",ROUND(IF(H188="Car or van",N188*INDEX('Notes and sources'!$C$6:$D$6,1,'Start here'!$C$11)+O188*INDEX('Notes and sources'!$C$7:$D$7,1,'Start here'!$C$11)+N(G188)*N(F188)*INDEX('Notes and sources'!$C$10:$D$10,1,'Start here'!$C$11),IF(H188="Motorcycle",N(F188)*INDEX('Notes and sources'!$C$8:$D$8,1,'Start here'!$C$11),IF(H188="Bicycle",N(F188)*INDEX('Notes and sources'!$C$9:$D$9,1,'Start here'!$C$11),0))),2))</f>
        <v/>
      </c>
      <c r="L188" s="27"/>
      <c r="N188" s="2" t="n">
        <f aca="false">IF(I188="",0,MAX(0,MIN(N(F188),INDEX('Notes and sources'!$C$12:$D$12,1,'Start here'!$C$11)-(I188-N(F188)))))</f>
        <v>0</v>
      </c>
      <c r="O188" s="2" t="n">
        <f aca="false">IF(I188="",0,N(F188)-N188)</f>
        <v>0</v>
      </c>
      <c r="P188" s="2" t="str">
        <f aca="false">IF(A188="","",IF(AND(MONTH(A188)=4,DAY(A188)&lt;6),13,MOD(MONTH(A188)-4,12)+1))</f>
        <v/>
      </c>
    </row>
    <row r="189" customFormat="false" ht="15" hidden="false" customHeight="false" outlineLevel="0" collapsed="false">
      <c r="A189" s="21"/>
      <c r="B189" s="6"/>
      <c r="C189" s="6"/>
      <c r="D189" s="6"/>
      <c r="E189" s="6"/>
      <c r="F189" s="22"/>
      <c r="G189" s="23"/>
      <c r="H189" s="24" t="str">
        <f aca="false">IF(B189="","",IFERROR(INDEX('Start here'!$C$16:$C$20,MATCH(B189,'Start here'!$B$16:$B$20,0)),"Check vehicle"))</f>
        <v/>
      </c>
      <c r="I189" s="25" t="str">
        <f aca="false">IF(OR(F189="",H189&lt;&gt;"Car or van"),"",SUMIFS($F$6:F189,$H$6:H189,"Car or van"))</f>
        <v/>
      </c>
      <c r="J189" s="24" t="str">
        <f aca="false">IF(F189="","",IF(H189="Car or van",IF(O189=0,TEXT(INDEX('Notes and sources'!$C$6:$D$6,1,'Start here'!$C$11)*100,"0")&amp;"p",IF(N189=0,TEXT(INDEX('Notes and sources'!$C$7:$D$7,1,'Start here'!$C$11)*100,"0")&amp;"p",TEXT(INDEX('Notes and sources'!$C$6:$D$6,1,'Start here'!$C$11)*100,"0")&amp;"p/"&amp;TEXT(INDEX('Notes and sources'!$C$7:$D$7,1,'Start here'!$C$11)*100,"0")&amp;"p")),IF(H189="Motorcycle",TEXT(INDEX('Notes and sources'!$C$8:$D$8,1,'Start here'!$C$11)*100,"0")&amp;"p",IF(H189="Bicycle",TEXT(INDEX('Notes and sources'!$C$9:$D$9,1,'Start here'!$C$11)*100,"0")&amp;"p",""))))</f>
        <v/>
      </c>
      <c r="K189" s="26" t="str">
        <f aca="false">IF(F189="","",ROUND(IF(H189="Car or van",N189*INDEX('Notes and sources'!$C$6:$D$6,1,'Start here'!$C$11)+O189*INDEX('Notes and sources'!$C$7:$D$7,1,'Start here'!$C$11)+N(G189)*N(F189)*INDEX('Notes and sources'!$C$10:$D$10,1,'Start here'!$C$11),IF(H189="Motorcycle",N(F189)*INDEX('Notes and sources'!$C$8:$D$8,1,'Start here'!$C$11),IF(H189="Bicycle",N(F189)*INDEX('Notes and sources'!$C$9:$D$9,1,'Start here'!$C$11),0))),2))</f>
        <v/>
      </c>
      <c r="L189" s="27"/>
      <c r="N189" s="2" t="n">
        <f aca="false">IF(I189="",0,MAX(0,MIN(N(F189),INDEX('Notes and sources'!$C$12:$D$12,1,'Start here'!$C$11)-(I189-N(F189)))))</f>
        <v>0</v>
      </c>
      <c r="O189" s="2" t="n">
        <f aca="false">IF(I189="",0,N(F189)-N189)</f>
        <v>0</v>
      </c>
      <c r="P189" s="2" t="str">
        <f aca="false">IF(A189="","",IF(AND(MONTH(A189)=4,DAY(A189)&lt;6),13,MOD(MONTH(A189)-4,12)+1))</f>
        <v/>
      </c>
    </row>
    <row r="190" customFormat="false" ht="15" hidden="false" customHeight="false" outlineLevel="0" collapsed="false">
      <c r="A190" s="21"/>
      <c r="B190" s="6"/>
      <c r="C190" s="6"/>
      <c r="D190" s="6"/>
      <c r="E190" s="6"/>
      <c r="F190" s="22"/>
      <c r="G190" s="23"/>
      <c r="H190" s="24" t="str">
        <f aca="false">IF(B190="","",IFERROR(INDEX('Start here'!$C$16:$C$20,MATCH(B190,'Start here'!$B$16:$B$20,0)),"Check vehicle"))</f>
        <v/>
      </c>
      <c r="I190" s="25" t="str">
        <f aca="false">IF(OR(F190="",H190&lt;&gt;"Car or van"),"",SUMIFS($F$6:F190,$H$6:H190,"Car or van"))</f>
        <v/>
      </c>
      <c r="J190" s="24" t="str">
        <f aca="false">IF(F190="","",IF(H190="Car or van",IF(O190=0,TEXT(INDEX('Notes and sources'!$C$6:$D$6,1,'Start here'!$C$11)*100,"0")&amp;"p",IF(N190=0,TEXT(INDEX('Notes and sources'!$C$7:$D$7,1,'Start here'!$C$11)*100,"0")&amp;"p",TEXT(INDEX('Notes and sources'!$C$6:$D$6,1,'Start here'!$C$11)*100,"0")&amp;"p/"&amp;TEXT(INDEX('Notes and sources'!$C$7:$D$7,1,'Start here'!$C$11)*100,"0")&amp;"p")),IF(H190="Motorcycle",TEXT(INDEX('Notes and sources'!$C$8:$D$8,1,'Start here'!$C$11)*100,"0")&amp;"p",IF(H190="Bicycle",TEXT(INDEX('Notes and sources'!$C$9:$D$9,1,'Start here'!$C$11)*100,"0")&amp;"p",""))))</f>
        <v/>
      </c>
      <c r="K190" s="26" t="str">
        <f aca="false">IF(F190="","",ROUND(IF(H190="Car or van",N190*INDEX('Notes and sources'!$C$6:$D$6,1,'Start here'!$C$11)+O190*INDEX('Notes and sources'!$C$7:$D$7,1,'Start here'!$C$11)+N(G190)*N(F190)*INDEX('Notes and sources'!$C$10:$D$10,1,'Start here'!$C$11),IF(H190="Motorcycle",N(F190)*INDEX('Notes and sources'!$C$8:$D$8,1,'Start here'!$C$11),IF(H190="Bicycle",N(F190)*INDEX('Notes and sources'!$C$9:$D$9,1,'Start here'!$C$11),0))),2))</f>
        <v/>
      </c>
      <c r="L190" s="27"/>
      <c r="N190" s="2" t="n">
        <f aca="false">IF(I190="",0,MAX(0,MIN(N(F190),INDEX('Notes and sources'!$C$12:$D$12,1,'Start here'!$C$11)-(I190-N(F190)))))</f>
        <v>0</v>
      </c>
      <c r="O190" s="2" t="n">
        <f aca="false">IF(I190="",0,N(F190)-N190)</f>
        <v>0</v>
      </c>
      <c r="P190" s="2" t="str">
        <f aca="false">IF(A190="","",IF(AND(MONTH(A190)=4,DAY(A190)&lt;6),13,MOD(MONTH(A190)-4,12)+1))</f>
        <v/>
      </c>
    </row>
    <row r="191" customFormat="false" ht="15" hidden="false" customHeight="false" outlineLevel="0" collapsed="false">
      <c r="A191" s="21"/>
      <c r="B191" s="6"/>
      <c r="C191" s="6"/>
      <c r="D191" s="6"/>
      <c r="E191" s="6"/>
      <c r="F191" s="22"/>
      <c r="G191" s="23"/>
      <c r="H191" s="24" t="str">
        <f aca="false">IF(B191="","",IFERROR(INDEX('Start here'!$C$16:$C$20,MATCH(B191,'Start here'!$B$16:$B$20,0)),"Check vehicle"))</f>
        <v/>
      </c>
      <c r="I191" s="25" t="str">
        <f aca="false">IF(OR(F191="",H191&lt;&gt;"Car or van"),"",SUMIFS($F$6:F191,$H$6:H191,"Car or van"))</f>
        <v/>
      </c>
      <c r="J191" s="24" t="str">
        <f aca="false">IF(F191="","",IF(H191="Car or van",IF(O191=0,TEXT(INDEX('Notes and sources'!$C$6:$D$6,1,'Start here'!$C$11)*100,"0")&amp;"p",IF(N191=0,TEXT(INDEX('Notes and sources'!$C$7:$D$7,1,'Start here'!$C$11)*100,"0")&amp;"p",TEXT(INDEX('Notes and sources'!$C$6:$D$6,1,'Start here'!$C$11)*100,"0")&amp;"p/"&amp;TEXT(INDEX('Notes and sources'!$C$7:$D$7,1,'Start here'!$C$11)*100,"0")&amp;"p")),IF(H191="Motorcycle",TEXT(INDEX('Notes and sources'!$C$8:$D$8,1,'Start here'!$C$11)*100,"0")&amp;"p",IF(H191="Bicycle",TEXT(INDEX('Notes and sources'!$C$9:$D$9,1,'Start here'!$C$11)*100,"0")&amp;"p",""))))</f>
        <v/>
      </c>
      <c r="K191" s="26" t="str">
        <f aca="false">IF(F191="","",ROUND(IF(H191="Car or van",N191*INDEX('Notes and sources'!$C$6:$D$6,1,'Start here'!$C$11)+O191*INDEX('Notes and sources'!$C$7:$D$7,1,'Start here'!$C$11)+N(G191)*N(F191)*INDEX('Notes and sources'!$C$10:$D$10,1,'Start here'!$C$11),IF(H191="Motorcycle",N(F191)*INDEX('Notes and sources'!$C$8:$D$8,1,'Start here'!$C$11),IF(H191="Bicycle",N(F191)*INDEX('Notes and sources'!$C$9:$D$9,1,'Start here'!$C$11),0))),2))</f>
        <v/>
      </c>
      <c r="L191" s="27"/>
      <c r="N191" s="2" t="n">
        <f aca="false">IF(I191="",0,MAX(0,MIN(N(F191),INDEX('Notes and sources'!$C$12:$D$12,1,'Start here'!$C$11)-(I191-N(F191)))))</f>
        <v>0</v>
      </c>
      <c r="O191" s="2" t="n">
        <f aca="false">IF(I191="",0,N(F191)-N191)</f>
        <v>0</v>
      </c>
      <c r="P191" s="2" t="str">
        <f aca="false">IF(A191="","",IF(AND(MONTH(A191)=4,DAY(A191)&lt;6),13,MOD(MONTH(A191)-4,12)+1))</f>
        <v/>
      </c>
    </row>
    <row r="192" customFormat="false" ht="15" hidden="false" customHeight="false" outlineLevel="0" collapsed="false">
      <c r="A192" s="21"/>
      <c r="B192" s="6"/>
      <c r="C192" s="6"/>
      <c r="D192" s="6"/>
      <c r="E192" s="6"/>
      <c r="F192" s="22"/>
      <c r="G192" s="23"/>
      <c r="H192" s="24" t="str">
        <f aca="false">IF(B192="","",IFERROR(INDEX('Start here'!$C$16:$C$20,MATCH(B192,'Start here'!$B$16:$B$20,0)),"Check vehicle"))</f>
        <v/>
      </c>
      <c r="I192" s="25" t="str">
        <f aca="false">IF(OR(F192="",H192&lt;&gt;"Car or van"),"",SUMIFS($F$6:F192,$H$6:H192,"Car or van"))</f>
        <v/>
      </c>
      <c r="J192" s="24" t="str">
        <f aca="false">IF(F192="","",IF(H192="Car or van",IF(O192=0,TEXT(INDEX('Notes and sources'!$C$6:$D$6,1,'Start here'!$C$11)*100,"0")&amp;"p",IF(N192=0,TEXT(INDEX('Notes and sources'!$C$7:$D$7,1,'Start here'!$C$11)*100,"0")&amp;"p",TEXT(INDEX('Notes and sources'!$C$6:$D$6,1,'Start here'!$C$11)*100,"0")&amp;"p/"&amp;TEXT(INDEX('Notes and sources'!$C$7:$D$7,1,'Start here'!$C$11)*100,"0")&amp;"p")),IF(H192="Motorcycle",TEXT(INDEX('Notes and sources'!$C$8:$D$8,1,'Start here'!$C$11)*100,"0")&amp;"p",IF(H192="Bicycle",TEXT(INDEX('Notes and sources'!$C$9:$D$9,1,'Start here'!$C$11)*100,"0")&amp;"p",""))))</f>
        <v/>
      </c>
      <c r="K192" s="26" t="str">
        <f aca="false">IF(F192="","",ROUND(IF(H192="Car or van",N192*INDEX('Notes and sources'!$C$6:$D$6,1,'Start here'!$C$11)+O192*INDEX('Notes and sources'!$C$7:$D$7,1,'Start here'!$C$11)+N(G192)*N(F192)*INDEX('Notes and sources'!$C$10:$D$10,1,'Start here'!$C$11),IF(H192="Motorcycle",N(F192)*INDEX('Notes and sources'!$C$8:$D$8,1,'Start here'!$C$11),IF(H192="Bicycle",N(F192)*INDEX('Notes and sources'!$C$9:$D$9,1,'Start here'!$C$11),0))),2))</f>
        <v/>
      </c>
      <c r="L192" s="27"/>
      <c r="N192" s="2" t="n">
        <f aca="false">IF(I192="",0,MAX(0,MIN(N(F192),INDEX('Notes and sources'!$C$12:$D$12,1,'Start here'!$C$11)-(I192-N(F192)))))</f>
        <v>0</v>
      </c>
      <c r="O192" s="2" t="n">
        <f aca="false">IF(I192="",0,N(F192)-N192)</f>
        <v>0</v>
      </c>
      <c r="P192" s="2" t="str">
        <f aca="false">IF(A192="","",IF(AND(MONTH(A192)=4,DAY(A192)&lt;6),13,MOD(MONTH(A192)-4,12)+1))</f>
        <v/>
      </c>
    </row>
    <row r="193" customFormat="false" ht="15" hidden="false" customHeight="false" outlineLevel="0" collapsed="false">
      <c r="A193" s="21"/>
      <c r="B193" s="6"/>
      <c r="C193" s="6"/>
      <c r="D193" s="6"/>
      <c r="E193" s="6"/>
      <c r="F193" s="22"/>
      <c r="G193" s="23"/>
      <c r="H193" s="24" t="str">
        <f aca="false">IF(B193="","",IFERROR(INDEX('Start here'!$C$16:$C$20,MATCH(B193,'Start here'!$B$16:$B$20,0)),"Check vehicle"))</f>
        <v/>
      </c>
      <c r="I193" s="25" t="str">
        <f aca="false">IF(OR(F193="",H193&lt;&gt;"Car or van"),"",SUMIFS($F$6:F193,$H$6:H193,"Car or van"))</f>
        <v/>
      </c>
      <c r="J193" s="24" t="str">
        <f aca="false">IF(F193="","",IF(H193="Car or van",IF(O193=0,TEXT(INDEX('Notes and sources'!$C$6:$D$6,1,'Start here'!$C$11)*100,"0")&amp;"p",IF(N193=0,TEXT(INDEX('Notes and sources'!$C$7:$D$7,1,'Start here'!$C$11)*100,"0")&amp;"p",TEXT(INDEX('Notes and sources'!$C$6:$D$6,1,'Start here'!$C$11)*100,"0")&amp;"p/"&amp;TEXT(INDEX('Notes and sources'!$C$7:$D$7,1,'Start here'!$C$11)*100,"0")&amp;"p")),IF(H193="Motorcycle",TEXT(INDEX('Notes and sources'!$C$8:$D$8,1,'Start here'!$C$11)*100,"0")&amp;"p",IF(H193="Bicycle",TEXT(INDEX('Notes and sources'!$C$9:$D$9,1,'Start here'!$C$11)*100,"0")&amp;"p",""))))</f>
        <v/>
      </c>
      <c r="K193" s="26" t="str">
        <f aca="false">IF(F193="","",ROUND(IF(H193="Car or van",N193*INDEX('Notes and sources'!$C$6:$D$6,1,'Start here'!$C$11)+O193*INDEX('Notes and sources'!$C$7:$D$7,1,'Start here'!$C$11)+N(G193)*N(F193)*INDEX('Notes and sources'!$C$10:$D$10,1,'Start here'!$C$11),IF(H193="Motorcycle",N(F193)*INDEX('Notes and sources'!$C$8:$D$8,1,'Start here'!$C$11),IF(H193="Bicycle",N(F193)*INDEX('Notes and sources'!$C$9:$D$9,1,'Start here'!$C$11),0))),2))</f>
        <v/>
      </c>
      <c r="L193" s="27"/>
      <c r="N193" s="2" t="n">
        <f aca="false">IF(I193="",0,MAX(0,MIN(N(F193),INDEX('Notes and sources'!$C$12:$D$12,1,'Start here'!$C$11)-(I193-N(F193)))))</f>
        <v>0</v>
      </c>
      <c r="O193" s="2" t="n">
        <f aca="false">IF(I193="",0,N(F193)-N193)</f>
        <v>0</v>
      </c>
      <c r="P193" s="2" t="str">
        <f aca="false">IF(A193="","",IF(AND(MONTH(A193)=4,DAY(A193)&lt;6),13,MOD(MONTH(A193)-4,12)+1))</f>
        <v/>
      </c>
    </row>
    <row r="194" customFormat="false" ht="15" hidden="false" customHeight="false" outlineLevel="0" collapsed="false">
      <c r="A194" s="21"/>
      <c r="B194" s="6"/>
      <c r="C194" s="6"/>
      <c r="D194" s="6"/>
      <c r="E194" s="6"/>
      <c r="F194" s="22"/>
      <c r="G194" s="23"/>
      <c r="H194" s="24" t="str">
        <f aca="false">IF(B194="","",IFERROR(INDEX('Start here'!$C$16:$C$20,MATCH(B194,'Start here'!$B$16:$B$20,0)),"Check vehicle"))</f>
        <v/>
      </c>
      <c r="I194" s="25" t="str">
        <f aca="false">IF(OR(F194="",H194&lt;&gt;"Car or van"),"",SUMIFS($F$6:F194,$H$6:H194,"Car or van"))</f>
        <v/>
      </c>
      <c r="J194" s="24" t="str">
        <f aca="false">IF(F194="","",IF(H194="Car or van",IF(O194=0,TEXT(INDEX('Notes and sources'!$C$6:$D$6,1,'Start here'!$C$11)*100,"0")&amp;"p",IF(N194=0,TEXT(INDEX('Notes and sources'!$C$7:$D$7,1,'Start here'!$C$11)*100,"0")&amp;"p",TEXT(INDEX('Notes and sources'!$C$6:$D$6,1,'Start here'!$C$11)*100,"0")&amp;"p/"&amp;TEXT(INDEX('Notes and sources'!$C$7:$D$7,1,'Start here'!$C$11)*100,"0")&amp;"p")),IF(H194="Motorcycle",TEXT(INDEX('Notes and sources'!$C$8:$D$8,1,'Start here'!$C$11)*100,"0")&amp;"p",IF(H194="Bicycle",TEXT(INDEX('Notes and sources'!$C$9:$D$9,1,'Start here'!$C$11)*100,"0")&amp;"p",""))))</f>
        <v/>
      </c>
      <c r="K194" s="26" t="str">
        <f aca="false">IF(F194="","",ROUND(IF(H194="Car or van",N194*INDEX('Notes and sources'!$C$6:$D$6,1,'Start here'!$C$11)+O194*INDEX('Notes and sources'!$C$7:$D$7,1,'Start here'!$C$11)+N(G194)*N(F194)*INDEX('Notes and sources'!$C$10:$D$10,1,'Start here'!$C$11),IF(H194="Motorcycle",N(F194)*INDEX('Notes and sources'!$C$8:$D$8,1,'Start here'!$C$11),IF(H194="Bicycle",N(F194)*INDEX('Notes and sources'!$C$9:$D$9,1,'Start here'!$C$11),0))),2))</f>
        <v/>
      </c>
      <c r="L194" s="27"/>
      <c r="N194" s="2" t="n">
        <f aca="false">IF(I194="",0,MAX(0,MIN(N(F194),INDEX('Notes and sources'!$C$12:$D$12,1,'Start here'!$C$11)-(I194-N(F194)))))</f>
        <v>0</v>
      </c>
      <c r="O194" s="2" t="n">
        <f aca="false">IF(I194="",0,N(F194)-N194)</f>
        <v>0</v>
      </c>
      <c r="P194" s="2" t="str">
        <f aca="false">IF(A194="","",IF(AND(MONTH(A194)=4,DAY(A194)&lt;6),13,MOD(MONTH(A194)-4,12)+1))</f>
        <v/>
      </c>
    </row>
    <row r="195" customFormat="false" ht="15" hidden="false" customHeight="false" outlineLevel="0" collapsed="false">
      <c r="A195" s="21"/>
      <c r="B195" s="6"/>
      <c r="C195" s="6"/>
      <c r="D195" s="6"/>
      <c r="E195" s="6"/>
      <c r="F195" s="22"/>
      <c r="G195" s="23"/>
      <c r="H195" s="24" t="str">
        <f aca="false">IF(B195="","",IFERROR(INDEX('Start here'!$C$16:$C$20,MATCH(B195,'Start here'!$B$16:$B$20,0)),"Check vehicle"))</f>
        <v/>
      </c>
      <c r="I195" s="25" t="str">
        <f aca="false">IF(OR(F195="",H195&lt;&gt;"Car or van"),"",SUMIFS($F$6:F195,$H$6:H195,"Car or van"))</f>
        <v/>
      </c>
      <c r="J195" s="24" t="str">
        <f aca="false">IF(F195="","",IF(H195="Car or van",IF(O195=0,TEXT(INDEX('Notes and sources'!$C$6:$D$6,1,'Start here'!$C$11)*100,"0")&amp;"p",IF(N195=0,TEXT(INDEX('Notes and sources'!$C$7:$D$7,1,'Start here'!$C$11)*100,"0")&amp;"p",TEXT(INDEX('Notes and sources'!$C$6:$D$6,1,'Start here'!$C$11)*100,"0")&amp;"p/"&amp;TEXT(INDEX('Notes and sources'!$C$7:$D$7,1,'Start here'!$C$11)*100,"0")&amp;"p")),IF(H195="Motorcycle",TEXT(INDEX('Notes and sources'!$C$8:$D$8,1,'Start here'!$C$11)*100,"0")&amp;"p",IF(H195="Bicycle",TEXT(INDEX('Notes and sources'!$C$9:$D$9,1,'Start here'!$C$11)*100,"0")&amp;"p",""))))</f>
        <v/>
      </c>
      <c r="K195" s="26" t="str">
        <f aca="false">IF(F195="","",ROUND(IF(H195="Car or van",N195*INDEX('Notes and sources'!$C$6:$D$6,1,'Start here'!$C$11)+O195*INDEX('Notes and sources'!$C$7:$D$7,1,'Start here'!$C$11)+N(G195)*N(F195)*INDEX('Notes and sources'!$C$10:$D$10,1,'Start here'!$C$11),IF(H195="Motorcycle",N(F195)*INDEX('Notes and sources'!$C$8:$D$8,1,'Start here'!$C$11),IF(H195="Bicycle",N(F195)*INDEX('Notes and sources'!$C$9:$D$9,1,'Start here'!$C$11),0))),2))</f>
        <v/>
      </c>
      <c r="L195" s="27"/>
      <c r="N195" s="2" t="n">
        <f aca="false">IF(I195="",0,MAX(0,MIN(N(F195),INDEX('Notes and sources'!$C$12:$D$12,1,'Start here'!$C$11)-(I195-N(F195)))))</f>
        <v>0</v>
      </c>
      <c r="O195" s="2" t="n">
        <f aca="false">IF(I195="",0,N(F195)-N195)</f>
        <v>0</v>
      </c>
      <c r="P195" s="2" t="str">
        <f aca="false">IF(A195="","",IF(AND(MONTH(A195)=4,DAY(A195)&lt;6),13,MOD(MONTH(A195)-4,12)+1))</f>
        <v/>
      </c>
    </row>
    <row r="196" customFormat="false" ht="15" hidden="false" customHeight="false" outlineLevel="0" collapsed="false">
      <c r="A196" s="21"/>
      <c r="B196" s="6"/>
      <c r="C196" s="6"/>
      <c r="D196" s="6"/>
      <c r="E196" s="6"/>
      <c r="F196" s="22"/>
      <c r="G196" s="23"/>
      <c r="H196" s="24" t="str">
        <f aca="false">IF(B196="","",IFERROR(INDEX('Start here'!$C$16:$C$20,MATCH(B196,'Start here'!$B$16:$B$20,0)),"Check vehicle"))</f>
        <v/>
      </c>
      <c r="I196" s="25" t="str">
        <f aca="false">IF(OR(F196="",H196&lt;&gt;"Car or van"),"",SUMIFS($F$6:F196,$H$6:H196,"Car or van"))</f>
        <v/>
      </c>
      <c r="J196" s="24" t="str">
        <f aca="false">IF(F196="","",IF(H196="Car or van",IF(O196=0,TEXT(INDEX('Notes and sources'!$C$6:$D$6,1,'Start here'!$C$11)*100,"0")&amp;"p",IF(N196=0,TEXT(INDEX('Notes and sources'!$C$7:$D$7,1,'Start here'!$C$11)*100,"0")&amp;"p",TEXT(INDEX('Notes and sources'!$C$6:$D$6,1,'Start here'!$C$11)*100,"0")&amp;"p/"&amp;TEXT(INDEX('Notes and sources'!$C$7:$D$7,1,'Start here'!$C$11)*100,"0")&amp;"p")),IF(H196="Motorcycle",TEXT(INDEX('Notes and sources'!$C$8:$D$8,1,'Start here'!$C$11)*100,"0")&amp;"p",IF(H196="Bicycle",TEXT(INDEX('Notes and sources'!$C$9:$D$9,1,'Start here'!$C$11)*100,"0")&amp;"p",""))))</f>
        <v/>
      </c>
      <c r="K196" s="26" t="str">
        <f aca="false">IF(F196="","",ROUND(IF(H196="Car or van",N196*INDEX('Notes and sources'!$C$6:$D$6,1,'Start here'!$C$11)+O196*INDEX('Notes and sources'!$C$7:$D$7,1,'Start here'!$C$11)+N(G196)*N(F196)*INDEX('Notes and sources'!$C$10:$D$10,1,'Start here'!$C$11),IF(H196="Motorcycle",N(F196)*INDEX('Notes and sources'!$C$8:$D$8,1,'Start here'!$C$11),IF(H196="Bicycle",N(F196)*INDEX('Notes and sources'!$C$9:$D$9,1,'Start here'!$C$11),0))),2))</f>
        <v/>
      </c>
      <c r="L196" s="27"/>
      <c r="N196" s="2" t="n">
        <f aca="false">IF(I196="",0,MAX(0,MIN(N(F196),INDEX('Notes and sources'!$C$12:$D$12,1,'Start here'!$C$11)-(I196-N(F196)))))</f>
        <v>0</v>
      </c>
      <c r="O196" s="2" t="n">
        <f aca="false">IF(I196="",0,N(F196)-N196)</f>
        <v>0</v>
      </c>
      <c r="P196" s="2" t="str">
        <f aca="false">IF(A196="","",IF(AND(MONTH(A196)=4,DAY(A196)&lt;6),13,MOD(MONTH(A196)-4,12)+1))</f>
        <v/>
      </c>
    </row>
    <row r="197" customFormat="false" ht="15" hidden="false" customHeight="false" outlineLevel="0" collapsed="false">
      <c r="A197" s="21"/>
      <c r="B197" s="6"/>
      <c r="C197" s="6"/>
      <c r="D197" s="6"/>
      <c r="E197" s="6"/>
      <c r="F197" s="22"/>
      <c r="G197" s="23"/>
      <c r="H197" s="24" t="str">
        <f aca="false">IF(B197="","",IFERROR(INDEX('Start here'!$C$16:$C$20,MATCH(B197,'Start here'!$B$16:$B$20,0)),"Check vehicle"))</f>
        <v/>
      </c>
      <c r="I197" s="25" t="str">
        <f aca="false">IF(OR(F197="",H197&lt;&gt;"Car or van"),"",SUMIFS($F$6:F197,$H$6:H197,"Car or van"))</f>
        <v/>
      </c>
      <c r="J197" s="24" t="str">
        <f aca="false">IF(F197="","",IF(H197="Car or van",IF(O197=0,TEXT(INDEX('Notes and sources'!$C$6:$D$6,1,'Start here'!$C$11)*100,"0")&amp;"p",IF(N197=0,TEXT(INDEX('Notes and sources'!$C$7:$D$7,1,'Start here'!$C$11)*100,"0")&amp;"p",TEXT(INDEX('Notes and sources'!$C$6:$D$6,1,'Start here'!$C$11)*100,"0")&amp;"p/"&amp;TEXT(INDEX('Notes and sources'!$C$7:$D$7,1,'Start here'!$C$11)*100,"0")&amp;"p")),IF(H197="Motorcycle",TEXT(INDEX('Notes and sources'!$C$8:$D$8,1,'Start here'!$C$11)*100,"0")&amp;"p",IF(H197="Bicycle",TEXT(INDEX('Notes and sources'!$C$9:$D$9,1,'Start here'!$C$11)*100,"0")&amp;"p",""))))</f>
        <v/>
      </c>
      <c r="K197" s="26" t="str">
        <f aca="false">IF(F197="","",ROUND(IF(H197="Car or van",N197*INDEX('Notes and sources'!$C$6:$D$6,1,'Start here'!$C$11)+O197*INDEX('Notes and sources'!$C$7:$D$7,1,'Start here'!$C$11)+N(G197)*N(F197)*INDEX('Notes and sources'!$C$10:$D$10,1,'Start here'!$C$11),IF(H197="Motorcycle",N(F197)*INDEX('Notes and sources'!$C$8:$D$8,1,'Start here'!$C$11),IF(H197="Bicycle",N(F197)*INDEX('Notes and sources'!$C$9:$D$9,1,'Start here'!$C$11),0))),2))</f>
        <v/>
      </c>
      <c r="L197" s="27"/>
      <c r="N197" s="2" t="n">
        <f aca="false">IF(I197="",0,MAX(0,MIN(N(F197),INDEX('Notes and sources'!$C$12:$D$12,1,'Start here'!$C$11)-(I197-N(F197)))))</f>
        <v>0</v>
      </c>
      <c r="O197" s="2" t="n">
        <f aca="false">IF(I197="",0,N(F197)-N197)</f>
        <v>0</v>
      </c>
      <c r="P197" s="2" t="str">
        <f aca="false">IF(A197="","",IF(AND(MONTH(A197)=4,DAY(A197)&lt;6),13,MOD(MONTH(A197)-4,12)+1))</f>
        <v/>
      </c>
    </row>
    <row r="198" customFormat="false" ht="15" hidden="false" customHeight="false" outlineLevel="0" collapsed="false">
      <c r="A198" s="21"/>
      <c r="B198" s="6"/>
      <c r="C198" s="6"/>
      <c r="D198" s="6"/>
      <c r="E198" s="6"/>
      <c r="F198" s="22"/>
      <c r="G198" s="23"/>
      <c r="H198" s="24" t="str">
        <f aca="false">IF(B198="","",IFERROR(INDEX('Start here'!$C$16:$C$20,MATCH(B198,'Start here'!$B$16:$B$20,0)),"Check vehicle"))</f>
        <v/>
      </c>
      <c r="I198" s="25" t="str">
        <f aca="false">IF(OR(F198="",H198&lt;&gt;"Car or van"),"",SUMIFS($F$6:F198,$H$6:H198,"Car or van"))</f>
        <v/>
      </c>
      <c r="J198" s="24" t="str">
        <f aca="false">IF(F198="","",IF(H198="Car or van",IF(O198=0,TEXT(INDEX('Notes and sources'!$C$6:$D$6,1,'Start here'!$C$11)*100,"0")&amp;"p",IF(N198=0,TEXT(INDEX('Notes and sources'!$C$7:$D$7,1,'Start here'!$C$11)*100,"0")&amp;"p",TEXT(INDEX('Notes and sources'!$C$6:$D$6,1,'Start here'!$C$11)*100,"0")&amp;"p/"&amp;TEXT(INDEX('Notes and sources'!$C$7:$D$7,1,'Start here'!$C$11)*100,"0")&amp;"p")),IF(H198="Motorcycle",TEXT(INDEX('Notes and sources'!$C$8:$D$8,1,'Start here'!$C$11)*100,"0")&amp;"p",IF(H198="Bicycle",TEXT(INDEX('Notes and sources'!$C$9:$D$9,1,'Start here'!$C$11)*100,"0")&amp;"p",""))))</f>
        <v/>
      </c>
      <c r="K198" s="26" t="str">
        <f aca="false">IF(F198="","",ROUND(IF(H198="Car or van",N198*INDEX('Notes and sources'!$C$6:$D$6,1,'Start here'!$C$11)+O198*INDEX('Notes and sources'!$C$7:$D$7,1,'Start here'!$C$11)+N(G198)*N(F198)*INDEX('Notes and sources'!$C$10:$D$10,1,'Start here'!$C$11),IF(H198="Motorcycle",N(F198)*INDEX('Notes and sources'!$C$8:$D$8,1,'Start here'!$C$11),IF(H198="Bicycle",N(F198)*INDEX('Notes and sources'!$C$9:$D$9,1,'Start here'!$C$11),0))),2))</f>
        <v/>
      </c>
      <c r="L198" s="27"/>
      <c r="N198" s="2" t="n">
        <f aca="false">IF(I198="",0,MAX(0,MIN(N(F198),INDEX('Notes and sources'!$C$12:$D$12,1,'Start here'!$C$11)-(I198-N(F198)))))</f>
        <v>0</v>
      </c>
      <c r="O198" s="2" t="n">
        <f aca="false">IF(I198="",0,N(F198)-N198)</f>
        <v>0</v>
      </c>
      <c r="P198" s="2" t="str">
        <f aca="false">IF(A198="","",IF(AND(MONTH(A198)=4,DAY(A198)&lt;6),13,MOD(MONTH(A198)-4,12)+1))</f>
        <v/>
      </c>
    </row>
    <row r="199" customFormat="false" ht="15" hidden="false" customHeight="false" outlineLevel="0" collapsed="false">
      <c r="A199" s="21"/>
      <c r="B199" s="6"/>
      <c r="C199" s="6"/>
      <c r="D199" s="6"/>
      <c r="E199" s="6"/>
      <c r="F199" s="22"/>
      <c r="G199" s="23"/>
      <c r="H199" s="24" t="str">
        <f aca="false">IF(B199="","",IFERROR(INDEX('Start here'!$C$16:$C$20,MATCH(B199,'Start here'!$B$16:$B$20,0)),"Check vehicle"))</f>
        <v/>
      </c>
      <c r="I199" s="25" t="str">
        <f aca="false">IF(OR(F199="",H199&lt;&gt;"Car or van"),"",SUMIFS($F$6:F199,$H$6:H199,"Car or van"))</f>
        <v/>
      </c>
      <c r="J199" s="24" t="str">
        <f aca="false">IF(F199="","",IF(H199="Car or van",IF(O199=0,TEXT(INDEX('Notes and sources'!$C$6:$D$6,1,'Start here'!$C$11)*100,"0")&amp;"p",IF(N199=0,TEXT(INDEX('Notes and sources'!$C$7:$D$7,1,'Start here'!$C$11)*100,"0")&amp;"p",TEXT(INDEX('Notes and sources'!$C$6:$D$6,1,'Start here'!$C$11)*100,"0")&amp;"p/"&amp;TEXT(INDEX('Notes and sources'!$C$7:$D$7,1,'Start here'!$C$11)*100,"0")&amp;"p")),IF(H199="Motorcycle",TEXT(INDEX('Notes and sources'!$C$8:$D$8,1,'Start here'!$C$11)*100,"0")&amp;"p",IF(H199="Bicycle",TEXT(INDEX('Notes and sources'!$C$9:$D$9,1,'Start here'!$C$11)*100,"0")&amp;"p",""))))</f>
        <v/>
      </c>
      <c r="K199" s="26" t="str">
        <f aca="false">IF(F199="","",ROUND(IF(H199="Car or van",N199*INDEX('Notes and sources'!$C$6:$D$6,1,'Start here'!$C$11)+O199*INDEX('Notes and sources'!$C$7:$D$7,1,'Start here'!$C$11)+N(G199)*N(F199)*INDEX('Notes and sources'!$C$10:$D$10,1,'Start here'!$C$11),IF(H199="Motorcycle",N(F199)*INDEX('Notes and sources'!$C$8:$D$8,1,'Start here'!$C$11),IF(H199="Bicycle",N(F199)*INDEX('Notes and sources'!$C$9:$D$9,1,'Start here'!$C$11),0))),2))</f>
        <v/>
      </c>
      <c r="L199" s="27"/>
      <c r="N199" s="2" t="n">
        <f aca="false">IF(I199="",0,MAX(0,MIN(N(F199),INDEX('Notes and sources'!$C$12:$D$12,1,'Start here'!$C$11)-(I199-N(F199)))))</f>
        <v>0</v>
      </c>
      <c r="O199" s="2" t="n">
        <f aca="false">IF(I199="",0,N(F199)-N199)</f>
        <v>0</v>
      </c>
      <c r="P199" s="2" t="str">
        <f aca="false">IF(A199="","",IF(AND(MONTH(A199)=4,DAY(A199)&lt;6),13,MOD(MONTH(A199)-4,12)+1))</f>
        <v/>
      </c>
    </row>
    <row r="200" customFormat="false" ht="15" hidden="false" customHeight="false" outlineLevel="0" collapsed="false">
      <c r="A200" s="21"/>
      <c r="B200" s="6"/>
      <c r="C200" s="6"/>
      <c r="D200" s="6"/>
      <c r="E200" s="6"/>
      <c r="F200" s="22"/>
      <c r="G200" s="23"/>
      <c r="H200" s="24" t="str">
        <f aca="false">IF(B200="","",IFERROR(INDEX('Start here'!$C$16:$C$20,MATCH(B200,'Start here'!$B$16:$B$20,0)),"Check vehicle"))</f>
        <v/>
      </c>
      <c r="I200" s="25" t="str">
        <f aca="false">IF(OR(F200="",H200&lt;&gt;"Car or van"),"",SUMIFS($F$6:F200,$H$6:H200,"Car or van"))</f>
        <v/>
      </c>
      <c r="J200" s="24" t="str">
        <f aca="false">IF(F200="","",IF(H200="Car or van",IF(O200=0,TEXT(INDEX('Notes and sources'!$C$6:$D$6,1,'Start here'!$C$11)*100,"0")&amp;"p",IF(N200=0,TEXT(INDEX('Notes and sources'!$C$7:$D$7,1,'Start here'!$C$11)*100,"0")&amp;"p",TEXT(INDEX('Notes and sources'!$C$6:$D$6,1,'Start here'!$C$11)*100,"0")&amp;"p/"&amp;TEXT(INDEX('Notes and sources'!$C$7:$D$7,1,'Start here'!$C$11)*100,"0")&amp;"p")),IF(H200="Motorcycle",TEXT(INDEX('Notes and sources'!$C$8:$D$8,1,'Start here'!$C$11)*100,"0")&amp;"p",IF(H200="Bicycle",TEXT(INDEX('Notes and sources'!$C$9:$D$9,1,'Start here'!$C$11)*100,"0")&amp;"p",""))))</f>
        <v/>
      </c>
      <c r="K200" s="26" t="str">
        <f aca="false">IF(F200="","",ROUND(IF(H200="Car or van",N200*INDEX('Notes and sources'!$C$6:$D$6,1,'Start here'!$C$11)+O200*INDEX('Notes and sources'!$C$7:$D$7,1,'Start here'!$C$11)+N(G200)*N(F200)*INDEX('Notes and sources'!$C$10:$D$10,1,'Start here'!$C$11),IF(H200="Motorcycle",N(F200)*INDEX('Notes and sources'!$C$8:$D$8,1,'Start here'!$C$11),IF(H200="Bicycle",N(F200)*INDEX('Notes and sources'!$C$9:$D$9,1,'Start here'!$C$11),0))),2))</f>
        <v/>
      </c>
      <c r="L200" s="27"/>
      <c r="N200" s="2" t="n">
        <f aca="false">IF(I200="",0,MAX(0,MIN(N(F200),INDEX('Notes and sources'!$C$12:$D$12,1,'Start here'!$C$11)-(I200-N(F200)))))</f>
        <v>0</v>
      </c>
      <c r="O200" s="2" t="n">
        <f aca="false">IF(I200="",0,N(F200)-N200)</f>
        <v>0</v>
      </c>
      <c r="P200" s="2" t="str">
        <f aca="false">IF(A200="","",IF(AND(MONTH(A200)=4,DAY(A200)&lt;6),13,MOD(MONTH(A200)-4,12)+1))</f>
        <v/>
      </c>
    </row>
    <row r="201" customFormat="false" ht="15" hidden="false" customHeight="false" outlineLevel="0" collapsed="false">
      <c r="A201" s="21"/>
      <c r="B201" s="6"/>
      <c r="C201" s="6"/>
      <c r="D201" s="6"/>
      <c r="E201" s="6"/>
      <c r="F201" s="22"/>
      <c r="G201" s="23"/>
      <c r="H201" s="24" t="str">
        <f aca="false">IF(B201="","",IFERROR(INDEX('Start here'!$C$16:$C$20,MATCH(B201,'Start here'!$B$16:$B$20,0)),"Check vehicle"))</f>
        <v/>
      </c>
      <c r="I201" s="25" t="str">
        <f aca="false">IF(OR(F201="",H201&lt;&gt;"Car or van"),"",SUMIFS($F$6:F201,$H$6:H201,"Car or van"))</f>
        <v/>
      </c>
      <c r="J201" s="24" t="str">
        <f aca="false">IF(F201="","",IF(H201="Car or van",IF(O201=0,TEXT(INDEX('Notes and sources'!$C$6:$D$6,1,'Start here'!$C$11)*100,"0")&amp;"p",IF(N201=0,TEXT(INDEX('Notes and sources'!$C$7:$D$7,1,'Start here'!$C$11)*100,"0")&amp;"p",TEXT(INDEX('Notes and sources'!$C$6:$D$6,1,'Start here'!$C$11)*100,"0")&amp;"p/"&amp;TEXT(INDEX('Notes and sources'!$C$7:$D$7,1,'Start here'!$C$11)*100,"0")&amp;"p")),IF(H201="Motorcycle",TEXT(INDEX('Notes and sources'!$C$8:$D$8,1,'Start here'!$C$11)*100,"0")&amp;"p",IF(H201="Bicycle",TEXT(INDEX('Notes and sources'!$C$9:$D$9,1,'Start here'!$C$11)*100,"0")&amp;"p",""))))</f>
        <v/>
      </c>
      <c r="K201" s="26" t="str">
        <f aca="false">IF(F201="","",ROUND(IF(H201="Car or van",N201*INDEX('Notes and sources'!$C$6:$D$6,1,'Start here'!$C$11)+O201*INDEX('Notes and sources'!$C$7:$D$7,1,'Start here'!$C$11)+N(G201)*N(F201)*INDEX('Notes and sources'!$C$10:$D$10,1,'Start here'!$C$11),IF(H201="Motorcycle",N(F201)*INDEX('Notes and sources'!$C$8:$D$8,1,'Start here'!$C$11),IF(H201="Bicycle",N(F201)*INDEX('Notes and sources'!$C$9:$D$9,1,'Start here'!$C$11),0))),2))</f>
        <v/>
      </c>
      <c r="L201" s="27"/>
      <c r="N201" s="2" t="n">
        <f aca="false">IF(I201="",0,MAX(0,MIN(N(F201),INDEX('Notes and sources'!$C$12:$D$12,1,'Start here'!$C$11)-(I201-N(F201)))))</f>
        <v>0</v>
      </c>
      <c r="O201" s="2" t="n">
        <f aca="false">IF(I201="",0,N(F201)-N201)</f>
        <v>0</v>
      </c>
      <c r="P201" s="2" t="str">
        <f aca="false">IF(A201="","",IF(AND(MONTH(A201)=4,DAY(A201)&lt;6),13,MOD(MONTH(A201)-4,12)+1))</f>
        <v/>
      </c>
    </row>
    <row r="202" customFormat="false" ht="15" hidden="false" customHeight="false" outlineLevel="0" collapsed="false">
      <c r="A202" s="21"/>
      <c r="B202" s="6"/>
      <c r="C202" s="6"/>
      <c r="D202" s="6"/>
      <c r="E202" s="6"/>
      <c r="F202" s="22"/>
      <c r="G202" s="23"/>
      <c r="H202" s="24" t="str">
        <f aca="false">IF(B202="","",IFERROR(INDEX('Start here'!$C$16:$C$20,MATCH(B202,'Start here'!$B$16:$B$20,0)),"Check vehicle"))</f>
        <v/>
      </c>
      <c r="I202" s="25" t="str">
        <f aca="false">IF(OR(F202="",H202&lt;&gt;"Car or van"),"",SUMIFS($F$6:F202,$H$6:H202,"Car or van"))</f>
        <v/>
      </c>
      <c r="J202" s="24" t="str">
        <f aca="false">IF(F202="","",IF(H202="Car or van",IF(O202=0,TEXT(INDEX('Notes and sources'!$C$6:$D$6,1,'Start here'!$C$11)*100,"0")&amp;"p",IF(N202=0,TEXT(INDEX('Notes and sources'!$C$7:$D$7,1,'Start here'!$C$11)*100,"0")&amp;"p",TEXT(INDEX('Notes and sources'!$C$6:$D$6,1,'Start here'!$C$11)*100,"0")&amp;"p/"&amp;TEXT(INDEX('Notes and sources'!$C$7:$D$7,1,'Start here'!$C$11)*100,"0")&amp;"p")),IF(H202="Motorcycle",TEXT(INDEX('Notes and sources'!$C$8:$D$8,1,'Start here'!$C$11)*100,"0")&amp;"p",IF(H202="Bicycle",TEXT(INDEX('Notes and sources'!$C$9:$D$9,1,'Start here'!$C$11)*100,"0")&amp;"p",""))))</f>
        <v/>
      </c>
      <c r="K202" s="26" t="str">
        <f aca="false">IF(F202="","",ROUND(IF(H202="Car or van",N202*INDEX('Notes and sources'!$C$6:$D$6,1,'Start here'!$C$11)+O202*INDEX('Notes and sources'!$C$7:$D$7,1,'Start here'!$C$11)+N(G202)*N(F202)*INDEX('Notes and sources'!$C$10:$D$10,1,'Start here'!$C$11),IF(H202="Motorcycle",N(F202)*INDEX('Notes and sources'!$C$8:$D$8,1,'Start here'!$C$11),IF(H202="Bicycle",N(F202)*INDEX('Notes and sources'!$C$9:$D$9,1,'Start here'!$C$11),0))),2))</f>
        <v/>
      </c>
      <c r="L202" s="27"/>
      <c r="N202" s="2" t="n">
        <f aca="false">IF(I202="",0,MAX(0,MIN(N(F202),INDEX('Notes and sources'!$C$12:$D$12,1,'Start here'!$C$11)-(I202-N(F202)))))</f>
        <v>0</v>
      </c>
      <c r="O202" s="2" t="n">
        <f aca="false">IF(I202="",0,N(F202)-N202)</f>
        <v>0</v>
      </c>
      <c r="P202" s="2" t="str">
        <f aca="false">IF(A202="","",IF(AND(MONTH(A202)=4,DAY(A202)&lt;6),13,MOD(MONTH(A202)-4,12)+1))</f>
        <v/>
      </c>
    </row>
    <row r="203" customFormat="false" ht="15" hidden="false" customHeight="false" outlineLevel="0" collapsed="false">
      <c r="A203" s="21"/>
      <c r="B203" s="6"/>
      <c r="C203" s="6"/>
      <c r="D203" s="6"/>
      <c r="E203" s="6"/>
      <c r="F203" s="22"/>
      <c r="G203" s="23"/>
      <c r="H203" s="24" t="str">
        <f aca="false">IF(B203="","",IFERROR(INDEX('Start here'!$C$16:$C$20,MATCH(B203,'Start here'!$B$16:$B$20,0)),"Check vehicle"))</f>
        <v/>
      </c>
      <c r="I203" s="25" t="str">
        <f aca="false">IF(OR(F203="",H203&lt;&gt;"Car or van"),"",SUMIFS($F$6:F203,$H$6:H203,"Car or van"))</f>
        <v/>
      </c>
      <c r="J203" s="24" t="str">
        <f aca="false">IF(F203="","",IF(H203="Car or van",IF(O203=0,TEXT(INDEX('Notes and sources'!$C$6:$D$6,1,'Start here'!$C$11)*100,"0")&amp;"p",IF(N203=0,TEXT(INDEX('Notes and sources'!$C$7:$D$7,1,'Start here'!$C$11)*100,"0")&amp;"p",TEXT(INDEX('Notes and sources'!$C$6:$D$6,1,'Start here'!$C$11)*100,"0")&amp;"p/"&amp;TEXT(INDEX('Notes and sources'!$C$7:$D$7,1,'Start here'!$C$11)*100,"0")&amp;"p")),IF(H203="Motorcycle",TEXT(INDEX('Notes and sources'!$C$8:$D$8,1,'Start here'!$C$11)*100,"0")&amp;"p",IF(H203="Bicycle",TEXT(INDEX('Notes and sources'!$C$9:$D$9,1,'Start here'!$C$11)*100,"0")&amp;"p",""))))</f>
        <v/>
      </c>
      <c r="K203" s="26" t="str">
        <f aca="false">IF(F203="","",ROUND(IF(H203="Car or van",N203*INDEX('Notes and sources'!$C$6:$D$6,1,'Start here'!$C$11)+O203*INDEX('Notes and sources'!$C$7:$D$7,1,'Start here'!$C$11)+N(G203)*N(F203)*INDEX('Notes and sources'!$C$10:$D$10,1,'Start here'!$C$11),IF(H203="Motorcycle",N(F203)*INDEX('Notes and sources'!$C$8:$D$8,1,'Start here'!$C$11),IF(H203="Bicycle",N(F203)*INDEX('Notes and sources'!$C$9:$D$9,1,'Start here'!$C$11),0))),2))</f>
        <v/>
      </c>
      <c r="L203" s="27"/>
      <c r="N203" s="2" t="n">
        <f aca="false">IF(I203="",0,MAX(0,MIN(N(F203),INDEX('Notes and sources'!$C$12:$D$12,1,'Start here'!$C$11)-(I203-N(F203)))))</f>
        <v>0</v>
      </c>
      <c r="O203" s="2" t="n">
        <f aca="false">IF(I203="",0,N(F203)-N203)</f>
        <v>0</v>
      </c>
      <c r="P203" s="2" t="str">
        <f aca="false">IF(A203="","",IF(AND(MONTH(A203)=4,DAY(A203)&lt;6),13,MOD(MONTH(A203)-4,12)+1))</f>
        <v/>
      </c>
    </row>
    <row r="204" customFormat="false" ht="15" hidden="false" customHeight="false" outlineLevel="0" collapsed="false">
      <c r="A204" s="21"/>
      <c r="B204" s="6"/>
      <c r="C204" s="6"/>
      <c r="D204" s="6"/>
      <c r="E204" s="6"/>
      <c r="F204" s="22"/>
      <c r="G204" s="23"/>
      <c r="H204" s="24" t="str">
        <f aca="false">IF(B204="","",IFERROR(INDEX('Start here'!$C$16:$C$20,MATCH(B204,'Start here'!$B$16:$B$20,0)),"Check vehicle"))</f>
        <v/>
      </c>
      <c r="I204" s="25" t="str">
        <f aca="false">IF(OR(F204="",H204&lt;&gt;"Car or van"),"",SUMIFS($F$6:F204,$H$6:H204,"Car or van"))</f>
        <v/>
      </c>
      <c r="J204" s="24" t="str">
        <f aca="false">IF(F204="","",IF(H204="Car or van",IF(O204=0,TEXT(INDEX('Notes and sources'!$C$6:$D$6,1,'Start here'!$C$11)*100,"0")&amp;"p",IF(N204=0,TEXT(INDEX('Notes and sources'!$C$7:$D$7,1,'Start here'!$C$11)*100,"0")&amp;"p",TEXT(INDEX('Notes and sources'!$C$6:$D$6,1,'Start here'!$C$11)*100,"0")&amp;"p/"&amp;TEXT(INDEX('Notes and sources'!$C$7:$D$7,1,'Start here'!$C$11)*100,"0")&amp;"p")),IF(H204="Motorcycle",TEXT(INDEX('Notes and sources'!$C$8:$D$8,1,'Start here'!$C$11)*100,"0")&amp;"p",IF(H204="Bicycle",TEXT(INDEX('Notes and sources'!$C$9:$D$9,1,'Start here'!$C$11)*100,"0")&amp;"p",""))))</f>
        <v/>
      </c>
      <c r="K204" s="26" t="str">
        <f aca="false">IF(F204="","",ROUND(IF(H204="Car or van",N204*INDEX('Notes and sources'!$C$6:$D$6,1,'Start here'!$C$11)+O204*INDEX('Notes and sources'!$C$7:$D$7,1,'Start here'!$C$11)+N(G204)*N(F204)*INDEX('Notes and sources'!$C$10:$D$10,1,'Start here'!$C$11),IF(H204="Motorcycle",N(F204)*INDEX('Notes and sources'!$C$8:$D$8,1,'Start here'!$C$11),IF(H204="Bicycle",N(F204)*INDEX('Notes and sources'!$C$9:$D$9,1,'Start here'!$C$11),0))),2))</f>
        <v/>
      </c>
      <c r="L204" s="27"/>
      <c r="N204" s="2" t="n">
        <f aca="false">IF(I204="",0,MAX(0,MIN(N(F204),INDEX('Notes and sources'!$C$12:$D$12,1,'Start here'!$C$11)-(I204-N(F204)))))</f>
        <v>0</v>
      </c>
      <c r="O204" s="2" t="n">
        <f aca="false">IF(I204="",0,N(F204)-N204)</f>
        <v>0</v>
      </c>
      <c r="P204" s="2" t="str">
        <f aca="false">IF(A204="","",IF(AND(MONTH(A204)=4,DAY(A204)&lt;6),13,MOD(MONTH(A204)-4,12)+1))</f>
        <v/>
      </c>
    </row>
    <row r="205" customFormat="false" ht="15" hidden="false" customHeight="false" outlineLevel="0" collapsed="false">
      <c r="A205" s="21"/>
      <c r="B205" s="6"/>
      <c r="C205" s="6"/>
      <c r="D205" s="6"/>
      <c r="E205" s="6"/>
      <c r="F205" s="22"/>
      <c r="G205" s="23"/>
      <c r="H205" s="24" t="str">
        <f aca="false">IF(B205="","",IFERROR(INDEX('Start here'!$C$16:$C$20,MATCH(B205,'Start here'!$B$16:$B$20,0)),"Check vehicle"))</f>
        <v/>
      </c>
      <c r="I205" s="25" t="str">
        <f aca="false">IF(OR(F205="",H205&lt;&gt;"Car or van"),"",SUMIFS($F$6:F205,$H$6:H205,"Car or van"))</f>
        <v/>
      </c>
      <c r="J205" s="24" t="str">
        <f aca="false">IF(F205="","",IF(H205="Car or van",IF(O205=0,TEXT(INDEX('Notes and sources'!$C$6:$D$6,1,'Start here'!$C$11)*100,"0")&amp;"p",IF(N205=0,TEXT(INDEX('Notes and sources'!$C$7:$D$7,1,'Start here'!$C$11)*100,"0")&amp;"p",TEXT(INDEX('Notes and sources'!$C$6:$D$6,1,'Start here'!$C$11)*100,"0")&amp;"p/"&amp;TEXT(INDEX('Notes and sources'!$C$7:$D$7,1,'Start here'!$C$11)*100,"0")&amp;"p")),IF(H205="Motorcycle",TEXT(INDEX('Notes and sources'!$C$8:$D$8,1,'Start here'!$C$11)*100,"0")&amp;"p",IF(H205="Bicycle",TEXT(INDEX('Notes and sources'!$C$9:$D$9,1,'Start here'!$C$11)*100,"0")&amp;"p",""))))</f>
        <v/>
      </c>
      <c r="K205" s="26" t="str">
        <f aca="false">IF(F205="","",ROUND(IF(H205="Car or van",N205*INDEX('Notes and sources'!$C$6:$D$6,1,'Start here'!$C$11)+O205*INDEX('Notes and sources'!$C$7:$D$7,1,'Start here'!$C$11)+N(G205)*N(F205)*INDEX('Notes and sources'!$C$10:$D$10,1,'Start here'!$C$11),IF(H205="Motorcycle",N(F205)*INDEX('Notes and sources'!$C$8:$D$8,1,'Start here'!$C$11),IF(H205="Bicycle",N(F205)*INDEX('Notes and sources'!$C$9:$D$9,1,'Start here'!$C$11),0))),2))</f>
        <v/>
      </c>
      <c r="L205" s="27"/>
      <c r="N205" s="2" t="n">
        <f aca="false">IF(I205="",0,MAX(0,MIN(N(F205),INDEX('Notes and sources'!$C$12:$D$12,1,'Start here'!$C$11)-(I205-N(F205)))))</f>
        <v>0</v>
      </c>
      <c r="O205" s="2" t="n">
        <f aca="false">IF(I205="",0,N(F205)-N205)</f>
        <v>0</v>
      </c>
      <c r="P205" s="2" t="str">
        <f aca="false">IF(A205="","",IF(AND(MONTH(A205)=4,DAY(A205)&lt;6),13,MOD(MONTH(A205)-4,12)+1))</f>
        <v/>
      </c>
    </row>
    <row r="206" customFormat="false" ht="15" hidden="false" customHeight="false" outlineLevel="0" collapsed="false">
      <c r="A206" s="21"/>
      <c r="B206" s="6"/>
      <c r="C206" s="6"/>
      <c r="D206" s="6"/>
      <c r="E206" s="6"/>
      <c r="F206" s="22"/>
      <c r="G206" s="23"/>
      <c r="H206" s="24" t="str">
        <f aca="false">IF(B206="","",IFERROR(INDEX('Start here'!$C$16:$C$20,MATCH(B206,'Start here'!$B$16:$B$20,0)),"Check vehicle"))</f>
        <v/>
      </c>
      <c r="I206" s="25" t="str">
        <f aca="false">IF(OR(F206="",H206&lt;&gt;"Car or van"),"",SUMIFS($F$6:F206,$H$6:H206,"Car or van"))</f>
        <v/>
      </c>
      <c r="J206" s="24" t="str">
        <f aca="false">IF(F206="","",IF(H206="Car or van",IF(O206=0,TEXT(INDEX('Notes and sources'!$C$6:$D$6,1,'Start here'!$C$11)*100,"0")&amp;"p",IF(N206=0,TEXT(INDEX('Notes and sources'!$C$7:$D$7,1,'Start here'!$C$11)*100,"0")&amp;"p",TEXT(INDEX('Notes and sources'!$C$6:$D$6,1,'Start here'!$C$11)*100,"0")&amp;"p/"&amp;TEXT(INDEX('Notes and sources'!$C$7:$D$7,1,'Start here'!$C$11)*100,"0")&amp;"p")),IF(H206="Motorcycle",TEXT(INDEX('Notes and sources'!$C$8:$D$8,1,'Start here'!$C$11)*100,"0")&amp;"p",IF(H206="Bicycle",TEXT(INDEX('Notes and sources'!$C$9:$D$9,1,'Start here'!$C$11)*100,"0")&amp;"p",""))))</f>
        <v/>
      </c>
      <c r="K206" s="26" t="str">
        <f aca="false">IF(F206="","",ROUND(IF(H206="Car or van",N206*INDEX('Notes and sources'!$C$6:$D$6,1,'Start here'!$C$11)+O206*INDEX('Notes and sources'!$C$7:$D$7,1,'Start here'!$C$11)+N(G206)*N(F206)*INDEX('Notes and sources'!$C$10:$D$10,1,'Start here'!$C$11),IF(H206="Motorcycle",N(F206)*INDEX('Notes and sources'!$C$8:$D$8,1,'Start here'!$C$11),IF(H206="Bicycle",N(F206)*INDEX('Notes and sources'!$C$9:$D$9,1,'Start here'!$C$11),0))),2))</f>
        <v/>
      </c>
      <c r="L206" s="27"/>
      <c r="N206" s="2" t="n">
        <f aca="false">IF(I206="",0,MAX(0,MIN(N(F206),INDEX('Notes and sources'!$C$12:$D$12,1,'Start here'!$C$11)-(I206-N(F206)))))</f>
        <v>0</v>
      </c>
      <c r="O206" s="2" t="n">
        <f aca="false">IF(I206="",0,N(F206)-N206)</f>
        <v>0</v>
      </c>
      <c r="P206" s="2" t="str">
        <f aca="false">IF(A206="","",IF(AND(MONTH(A206)=4,DAY(A206)&lt;6),13,MOD(MONTH(A206)-4,12)+1))</f>
        <v/>
      </c>
    </row>
    <row r="207" customFormat="false" ht="15" hidden="false" customHeight="false" outlineLevel="0" collapsed="false">
      <c r="A207" s="21"/>
      <c r="B207" s="6"/>
      <c r="C207" s="6"/>
      <c r="D207" s="6"/>
      <c r="E207" s="6"/>
      <c r="F207" s="22"/>
      <c r="G207" s="23"/>
      <c r="H207" s="24" t="str">
        <f aca="false">IF(B207="","",IFERROR(INDEX('Start here'!$C$16:$C$20,MATCH(B207,'Start here'!$B$16:$B$20,0)),"Check vehicle"))</f>
        <v/>
      </c>
      <c r="I207" s="25" t="str">
        <f aca="false">IF(OR(F207="",H207&lt;&gt;"Car or van"),"",SUMIFS($F$6:F207,$H$6:H207,"Car or van"))</f>
        <v/>
      </c>
      <c r="J207" s="24" t="str">
        <f aca="false">IF(F207="","",IF(H207="Car or van",IF(O207=0,TEXT(INDEX('Notes and sources'!$C$6:$D$6,1,'Start here'!$C$11)*100,"0")&amp;"p",IF(N207=0,TEXT(INDEX('Notes and sources'!$C$7:$D$7,1,'Start here'!$C$11)*100,"0")&amp;"p",TEXT(INDEX('Notes and sources'!$C$6:$D$6,1,'Start here'!$C$11)*100,"0")&amp;"p/"&amp;TEXT(INDEX('Notes and sources'!$C$7:$D$7,1,'Start here'!$C$11)*100,"0")&amp;"p")),IF(H207="Motorcycle",TEXT(INDEX('Notes and sources'!$C$8:$D$8,1,'Start here'!$C$11)*100,"0")&amp;"p",IF(H207="Bicycle",TEXT(INDEX('Notes and sources'!$C$9:$D$9,1,'Start here'!$C$11)*100,"0")&amp;"p",""))))</f>
        <v/>
      </c>
      <c r="K207" s="26" t="str">
        <f aca="false">IF(F207="","",ROUND(IF(H207="Car or van",N207*INDEX('Notes and sources'!$C$6:$D$6,1,'Start here'!$C$11)+O207*INDEX('Notes and sources'!$C$7:$D$7,1,'Start here'!$C$11)+N(G207)*N(F207)*INDEX('Notes and sources'!$C$10:$D$10,1,'Start here'!$C$11),IF(H207="Motorcycle",N(F207)*INDEX('Notes and sources'!$C$8:$D$8,1,'Start here'!$C$11),IF(H207="Bicycle",N(F207)*INDEX('Notes and sources'!$C$9:$D$9,1,'Start here'!$C$11),0))),2))</f>
        <v/>
      </c>
      <c r="L207" s="27"/>
      <c r="N207" s="2" t="n">
        <f aca="false">IF(I207="",0,MAX(0,MIN(N(F207),INDEX('Notes and sources'!$C$12:$D$12,1,'Start here'!$C$11)-(I207-N(F207)))))</f>
        <v>0</v>
      </c>
      <c r="O207" s="2" t="n">
        <f aca="false">IF(I207="",0,N(F207)-N207)</f>
        <v>0</v>
      </c>
      <c r="P207" s="2" t="str">
        <f aca="false">IF(A207="","",IF(AND(MONTH(A207)=4,DAY(A207)&lt;6),13,MOD(MONTH(A207)-4,12)+1))</f>
        <v/>
      </c>
    </row>
    <row r="208" customFormat="false" ht="15" hidden="false" customHeight="false" outlineLevel="0" collapsed="false">
      <c r="A208" s="21"/>
      <c r="B208" s="6"/>
      <c r="C208" s="6"/>
      <c r="D208" s="6"/>
      <c r="E208" s="6"/>
      <c r="F208" s="22"/>
      <c r="G208" s="23"/>
      <c r="H208" s="24" t="str">
        <f aca="false">IF(B208="","",IFERROR(INDEX('Start here'!$C$16:$C$20,MATCH(B208,'Start here'!$B$16:$B$20,0)),"Check vehicle"))</f>
        <v/>
      </c>
      <c r="I208" s="25" t="str">
        <f aca="false">IF(OR(F208="",H208&lt;&gt;"Car or van"),"",SUMIFS($F$6:F208,$H$6:H208,"Car or van"))</f>
        <v/>
      </c>
      <c r="J208" s="24" t="str">
        <f aca="false">IF(F208="","",IF(H208="Car or van",IF(O208=0,TEXT(INDEX('Notes and sources'!$C$6:$D$6,1,'Start here'!$C$11)*100,"0")&amp;"p",IF(N208=0,TEXT(INDEX('Notes and sources'!$C$7:$D$7,1,'Start here'!$C$11)*100,"0")&amp;"p",TEXT(INDEX('Notes and sources'!$C$6:$D$6,1,'Start here'!$C$11)*100,"0")&amp;"p/"&amp;TEXT(INDEX('Notes and sources'!$C$7:$D$7,1,'Start here'!$C$11)*100,"0")&amp;"p")),IF(H208="Motorcycle",TEXT(INDEX('Notes and sources'!$C$8:$D$8,1,'Start here'!$C$11)*100,"0")&amp;"p",IF(H208="Bicycle",TEXT(INDEX('Notes and sources'!$C$9:$D$9,1,'Start here'!$C$11)*100,"0")&amp;"p",""))))</f>
        <v/>
      </c>
      <c r="K208" s="26" t="str">
        <f aca="false">IF(F208="","",ROUND(IF(H208="Car or van",N208*INDEX('Notes and sources'!$C$6:$D$6,1,'Start here'!$C$11)+O208*INDEX('Notes and sources'!$C$7:$D$7,1,'Start here'!$C$11)+N(G208)*N(F208)*INDEX('Notes and sources'!$C$10:$D$10,1,'Start here'!$C$11),IF(H208="Motorcycle",N(F208)*INDEX('Notes and sources'!$C$8:$D$8,1,'Start here'!$C$11),IF(H208="Bicycle",N(F208)*INDEX('Notes and sources'!$C$9:$D$9,1,'Start here'!$C$11),0))),2))</f>
        <v/>
      </c>
      <c r="L208" s="27"/>
      <c r="N208" s="2" t="n">
        <f aca="false">IF(I208="",0,MAX(0,MIN(N(F208),INDEX('Notes and sources'!$C$12:$D$12,1,'Start here'!$C$11)-(I208-N(F208)))))</f>
        <v>0</v>
      </c>
      <c r="O208" s="2" t="n">
        <f aca="false">IF(I208="",0,N(F208)-N208)</f>
        <v>0</v>
      </c>
      <c r="P208" s="2" t="str">
        <f aca="false">IF(A208="","",IF(AND(MONTH(A208)=4,DAY(A208)&lt;6),13,MOD(MONTH(A208)-4,12)+1))</f>
        <v/>
      </c>
    </row>
    <row r="209" customFormat="false" ht="15" hidden="false" customHeight="false" outlineLevel="0" collapsed="false">
      <c r="A209" s="21"/>
      <c r="B209" s="6"/>
      <c r="C209" s="6"/>
      <c r="D209" s="6"/>
      <c r="E209" s="6"/>
      <c r="F209" s="22"/>
      <c r="G209" s="23"/>
      <c r="H209" s="24" t="str">
        <f aca="false">IF(B209="","",IFERROR(INDEX('Start here'!$C$16:$C$20,MATCH(B209,'Start here'!$B$16:$B$20,0)),"Check vehicle"))</f>
        <v/>
      </c>
      <c r="I209" s="25" t="str">
        <f aca="false">IF(OR(F209="",H209&lt;&gt;"Car or van"),"",SUMIFS($F$6:F209,$H$6:H209,"Car or van"))</f>
        <v/>
      </c>
      <c r="J209" s="24" t="str">
        <f aca="false">IF(F209="","",IF(H209="Car or van",IF(O209=0,TEXT(INDEX('Notes and sources'!$C$6:$D$6,1,'Start here'!$C$11)*100,"0")&amp;"p",IF(N209=0,TEXT(INDEX('Notes and sources'!$C$7:$D$7,1,'Start here'!$C$11)*100,"0")&amp;"p",TEXT(INDEX('Notes and sources'!$C$6:$D$6,1,'Start here'!$C$11)*100,"0")&amp;"p/"&amp;TEXT(INDEX('Notes and sources'!$C$7:$D$7,1,'Start here'!$C$11)*100,"0")&amp;"p")),IF(H209="Motorcycle",TEXT(INDEX('Notes and sources'!$C$8:$D$8,1,'Start here'!$C$11)*100,"0")&amp;"p",IF(H209="Bicycle",TEXT(INDEX('Notes and sources'!$C$9:$D$9,1,'Start here'!$C$11)*100,"0")&amp;"p",""))))</f>
        <v/>
      </c>
      <c r="K209" s="26" t="str">
        <f aca="false">IF(F209="","",ROUND(IF(H209="Car or van",N209*INDEX('Notes and sources'!$C$6:$D$6,1,'Start here'!$C$11)+O209*INDEX('Notes and sources'!$C$7:$D$7,1,'Start here'!$C$11)+N(G209)*N(F209)*INDEX('Notes and sources'!$C$10:$D$10,1,'Start here'!$C$11),IF(H209="Motorcycle",N(F209)*INDEX('Notes and sources'!$C$8:$D$8,1,'Start here'!$C$11),IF(H209="Bicycle",N(F209)*INDEX('Notes and sources'!$C$9:$D$9,1,'Start here'!$C$11),0))),2))</f>
        <v/>
      </c>
      <c r="L209" s="27"/>
      <c r="N209" s="2" t="n">
        <f aca="false">IF(I209="",0,MAX(0,MIN(N(F209),INDEX('Notes and sources'!$C$12:$D$12,1,'Start here'!$C$11)-(I209-N(F209)))))</f>
        <v>0</v>
      </c>
      <c r="O209" s="2" t="n">
        <f aca="false">IF(I209="",0,N(F209)-N209)</f>
        <v>0</v>
      </c>
      <c r="P209" s="2" t="str">
        <f aca="false">IF(A209="","",IF(AND(MONTH(A209)=4,DAY(A209)&lt;6),13,MOD(MONTH(A209)-4,12)+1))</f>
        <v/>
      </c>
    </row>
    <row r="210" customFormat="false" ht="15" hidden="false" customHeight="false" outlineLevel="0" collapsed="false">
      <c r="A210" s="21"/>
      <c r="B210" s="6"/>
      <c r="C210" s="6"/>
      <c r="D210" s="6"/>
      <c r="E210" s="6"/>
      <c r="F210" s="22"/>
      <c r="G210" s="23"/>
      <c r="H210" s="24" t="str">
        <f aca="false">IF(B210="","",IFERROR(INDEX('Start here'!$C$16:$C$20,MATCH(B210,'Start here'!$B$16:$B$20,0)),"Check vehicle"))</f>
        <v/>
      </c>
      <c r="I210" s="25" t="str">
        <f aca="false">IF(OR(F210="",H210&lt;&gt;"Car or van"),"",SUMIFS($F$6:F210,$H$6:H210,"Car or van"))</f>
        <v/>
      </c>
      <c r="J210" s="24" t="str">
        <f aca="false">IF(F210="","",IF(H210="Car or van",IF(O210=0,TEXT(INDEX('Notes and sources'!$C$6:$D$6,1,'Start here'!$C$11)*100,"0")&amp;"p",IF(N210=0,TEXT(INDEX('Notes and sources'!$C$7:$D$7,1,'Start here'!$C$11)*100,"0")&amp;"p",TEXT(INDEX('Notes and sources'!$C$6:$D$6,1,'Start here'!$C$11)*100,"0")&amp;"p/"&amp;TEXT(INDEX('Notes and sources'!$C$7:$D$7,1,'Start here'!$C$11)*100,"0")&amp;"p")),IF(H210="Motorcycle",TEXT(INDEX('Notes and sources'!$C$8:$D$8,1,'Start here'!$C$11)*100,"0")&amp;"p",IF(H210="Bicycle",TEXT(INDEX('Notes and sources'!$C$9:$D$9,1,'Start here'!$C$11)*100,"0")&amp;"p",""))))</f>
        <v/>
      </c>
      <c r="K210" s="26" t="str">
        <f aca="false">IF(F210="","",ROUND(IF(H210="Car or van",N210*INDEX('Notes and sources'!$C$6:$D$6,1,'Start here'!$C$11)+O210*INDEX('Notes and sources'!$C$7:$D$7,1,'Start here'!$C$11)+N(G210)*N(F210)*INDEX('Notes and sources'!$C$10:$D$10,1,'Start here'!$C$11),IF(H210="Motorcycle",N(F210)*INDEX('Notes and sources'!$C$8:$D$8,1,'Start here'!$C$11),IF(H210="Bicycle",N(F210)*INDEX('Notes and sources'!$C$9:$D$9,1,'Start here'!$C$11),0))),2))</f>
        <v/>
      </c>
      <c r="L210" s="27"/>
      <c r="N210" s="2" t="n">
        <f aca="false">IF(I210="",0,MAX(0,MIN(N(F210),INDEX('Notes and sources'!$C$12:$D$12,1,'Start here'!$C$11)-(I210-N(F210)))))</f>
        <v>0</v>
      </c>
      <c r="O210" s="2" t="n">
        <f aca="false">IF(I210="",0,N(F210)-N210)</f>
        <v>0</v>
      </c>
      <c r="P210" s="2" t="str">
        <f aca="false">IF(A210="","",IF(AND(MONTH(A210)=4,DAY(A210)&lt;6),13,MOD(MONTH(A210)-4,12)+1))</f>
        <v/>
      </c>
    </row>
    <row r="211" customFormat="false" ht="15" hidden="false" customHeight="false" outlineLevel="0" collapsed="false">
      <c r="A211" s="21"/>
      <c r="B211" s="6"/>
      <c r="C211" s="6"/>
      <c r="D211" s="6"/>
      <c r="E211" s="6"/>
      <c r="F211" s="22"/>
      <c r="G211" s="23"/>
      <c r="H211" s="24" t="str">
        <f aca="false">IF(B211="","",IFERROR(INDEX('Start here'!$C$16:$C$20,MATCH(B211,'Start here'!$B$16:$B$20,0)),"Check vehicle"))</f>
        <v/>
      </c>
      <c r="I211" s="25" t="str">
        <f aca="false">IF(OR(F211="",H211&lt;&gt;"Car or van"),"",SUMIFS($F$6:F211,$H$6:H211,"Car or van"))</f>
        <v/>
      </c>
      <c r="J211" s="24" t="str">
        <f aca="false">IF(F211="","",IF(H211="Car or van",IF(O211=0,TEXT(INDEX('Notes and sources'!$C$6:$D$6,1,'Start here'!$C$11)*100,"0")&amp;"p",IF(N211=0,TEXT(INDEX('Notes and sources'!$C$7:$D$7,1,'Start here'!$C$11)*100,"0")&amp;"p",TEXT(INDEX('Notes and sources'!$C$6:$D$6,1,'Start here'!$C$11)*100,"0")&amp;"p/"&amp;TEXT(INDEX('Notes and sources'!$C$7:$D$7,1,'Start here'!$C$11)*100,"0")&amp;"p")),IF(H211="Motorcycle",TEXT(INDEX('Notes and sources'!$C$8:$D$8,1,'Start here'!$C$11)*100,"0")&amp;"p",IF(H211="Bicycle",TEXT(INDEX('Notes and sources'!$C$9:$D$9,1,'Start here'!$C$11)*100,"0")&amp;"p",""))))</f>
        <v/>
      </c>
      <c r="K211" s="26" t="str">
        <f aca="false">IF(F211="","",ROUND(IF(H211="Car or van",N211*INDEX('Notes and sources'!$C$6:$D$6,1,'Start here'!$C$11)+O211*INDEX('Notes and sources'!$C$7:$D$7,1,'Start here'!$C$11)+N(G211)*N(F211)*INDEX('Notes and sources'!$C$10:$D$10,1,'Start here'!$C$11),IF(H211="Motorcycle",N(F211)*INDEX('Notes and sources'!$C$8:$D$8,1,'Start here'!$C$11),IF(H211="Bicycle",N(F211)*INDEX('Notes and sources'!$C$9:$D$9,1,'Start here'!$C$11),0))),2))</f>
        <v/>
      </c>
      <c r="L211" s="27"/>
      <c r="N211" s="2" t="n">
        <f aca="false">IF(I211="",0,MAX(0,MIN(N(F211),INDEX('Notes and sources'!$C$12:$D$12,1,'Start here'!$C$11)-(I211-N(F211)))))</f>
        <v>0</v>
      </c>
      <c r="O211" s="2" t="n">
        <f aca="false">IF(I211="",0,N(F211)-N211)</f>
        <v>0</v>
      </c>
      <c r="P211" s="2" t="str">
        <f aca="false">IF(A211="","",IF(AND(MONTH(A211)=4,DAY(A211)&lt;6),13,MOD(MONTH(A211)-4,12)+1))</f>
        <v/>
      </c>
    </row>
    <row r="212" customFormat="false" ht="15" hidden="false" customHeight="false" outlineLevel="0" collapsed="false">
      <c r="A212" s="21"/>
      <c r="B212" s="6"/>
      <c r="C212" s="6"/>
      <c r="D212" s="6"/>
      <c r="E212" s="6"/>
      <c r="F212" s="22"/>
      <c r="G212" s="23"/>
      <c r="H212" s="24" t="str">
        <f aca="false">IF(B212="","",IFERROR(INDEX('Start here'!$C$16:$C$20,MATCH(B212,'Start here'!$B$16:$B$20,0)),"Check vehicle"))</f>
        <v/>
      </c>
      <c r="I212" s="25" t="str">
        <f aca="false">IF(OR(F212="",H212&lt;&gt;"Car or van"),"",SUMIFS($F$6:F212,$H$6:H212,"Car or van"))</f>
        <v/>
      </c>
      <c r="J212" s="24" t="str">
        <f aca="false">IF(F212="","",IF(H212="Car or van",IF(O212=0,TEXT(INDEX('Notes and sources'!$C$6:$D$6,1,'Start here'!$C$11)*100,"0")&amp;"p",IF(N212=0,TEXT(INDEX('Notes and sources'!$C$7:$D$7,1,'Start here'!$C$11)*100,"0")&amp;"p",TEXT(INDEX('Notes and sources'!$C$6:$D$6,1,'Start here'!$C$11)*100,"0")&amp;"p/"&amp;TEXT(INDEX('Notes and sources'!$C$7:$D$7,1,'Start here'!$C$11)*100,"0")&amp;"p")),IF(H212="Motorcycle",TEXT(INDEX('Notes and sources'!$C$8:$D$8,1,'Start here'!$C$11)*100,"0")&amp;"p",IF(H212="Bicycle",TEXT(INDEX('Notes and sources'!$C$9:$D$9,1,'Start here'!$C$11)*100,"0")&amp;"p",""))))</f>
        <v/>
      </c>
      <c r="K212" s="26" t="str">
        <f aca="false">IF(F212="","",ROUND(IF(H212="Car or van",N212*INDEX('Notes and sources'!$C$6:$D$6,1,'Start here'!$C$11)+O212*INDEX('Notes and sources'!$C$7:$D$7,1,'Start here'!$C$11)+N(G212)*N(F212)*INDEX('Notes and sources'!$C$10:$D$10,1,'Start here'!$C$11),IF(H212="Motorcycle",N(F212)*INDEX('Notes and sources'!$C$8:$D$8,1,'Start here'!$C$11),IF(H212="Bicycle",N(F212)*INDEX('Notes and sources'!$C$9:$D$9,1,'Start here'!$C$11),0))),2))</f>
        <v/>
      </c>
      <c r="L212" s="27"/>
      <c r="N212" s="2" t="n">
        <f aca="false">IF(I212="",0,MAX(0,MIN(N(F212),INDEX('Notes and sources'!$C$12:$D$12,1,'Start here'!$C$11)-(I212-N(F212)))))</f>
        <v>0</v>
      </c>
      <c r="O212" s="2" t="n">
        <f aca="false">IF(I212="",0,N(F212)-N212)</f>
        <v>0</v>
      </c>
      <c r="P212" s="2" t="str">
        <f aca="false">IF(A212="","",IF(AND(MONTH(A212)=4,DAY(A212)&lt;6),13,MOD(MONTH(A212)-4,12)+1))</f>
        <v/>
      </c>
    </row>
    <row r="213" customFormat="false" ht="15" hidden="false" customHeight="false" outlineLevel="0" collapsed="false">
      <c r="A213" s="21"/>
      <c r="B213" s="6"/>
      <c r="C213" s="6"/>
      <c r="D213" s="6"/>
      <c r="E213" s="6"/>
      <c r="F213" s="22"/>
      <c r="G213" s="23"/>
      <c r="H213" s="24" t="str">
        <f aca="false">IF(B213="","",IFERROR(INDEX('Start here'!$C$16:$C$20,MATCH(B213,'Start here'!$B$16:$B$20,0)),"Check vehicle"))</f>
        <v/>
      </c>
      <c r="I213" s="25" t="str">
        <f aca="false">IF(OR(F213="",H213&lt;&gt;"Car or van"),"",SUMIFS($F$6:F213,$H$6:H213,"Car or van"))</f>
        <v/>
      </c>
      <c r="J213" s="24" t="str">
        <f aca="false">IF(F213="","",IF(H213="Car or van",IF(O213=0,TEXT(INDEX('Notes and sources'!$C$6:$D$6,1,'Start here'!$C$11)*100,"0")&amp;"p",IF(N213=0,TEXT(INDEX('Notes and sources'!$C$7:$D$7,1,'Start here'!$C$11)*100,"0")&amp;"p",TEXT(INDEX('Notes and sources'!$C$6:$D$6,1,'Start here'!$C$11)*100,"0")&amp;"p/"&amp;TEXT(INDEX('Notes and sources'!$C$7:$D$7,1,'Start here'!$C$11)*100,"0")&amp;"p")),IF(H213="Motorcycle",TEXT(INDEX('Notes and sources'!$C$8:$D$8,1,'Start here'!$C$11)*100,"0")&amp;"p",IF(H213="Bicycle",TEXT(INDEX('Notes and sources'!$C$9:$D$9,1,'Start here'!$C$11)*100,"0")&amp;"p",""))))</f>
        <v/>
      </c>
      <c r="K213" s="26" t="str">
        <f aca="false">IF(F213="","",ROUND(IF(H213="Car or van",N213*INDEX('Notes and sources'!$C$6:$D$6,1,'Start here'!$C$11)+O213*INDEX('Notes and sources'!$C$7:$D$7,1,'Start here'!$C$11)+N(G213)*N(F213)*INDEX('Notes and sources'!$C$10:$D$10,1,'Start here'!$C$11),IF(H213="Motorcycle",N(F213)*INDEX('Notes and sources'!$C$8:$D$8,1,'Start here'!$C$11),IF(H213="Bicycle",N(F213)*INDEX('Notes and sources'!$C$9:$D$9,1,'Start here'!$C$11),0))),2))</f>
        <v/>
      </c>
      <c r="L213" s="27"/>
      <c r="N213" s="2" t="n">
        <f aca="false">IF(I213="",0,MAX(0,MIN(N(F213),INDEX('Notes and sources'!$C$12:$D$12,1,'Start here'!$C$11)-(I213-N(F213)))))</f>
        <v>0</v>
      </c>
      <c r="O213" s="2" t="n">
        <f aca="false">IF(I213="",0,N(F213)-N213)</f>
        <v>0</v>
      </c>
      <c r="P213" s="2" t="str">
        <f aca="false">IF(A213="","",IF(AND(MONTH(A213)=4,DAY(A213)&lt;6),13,MOD(MONTH(A213)-4,12)+1))</f>
        <v/>
      </c>
    </row>
    <row r="214" customFormat="false" ht="15" hidden="false" customHeight="false" outlineLevel="0" collapsed="false">
      <c r="A214" s="21"/>
      <c r="B214" s="6"/>
      <c r="C214" s="6"/>
      <c r="D214" s="6"/>
      <c r="E214" s="6"/>
      <c r="F214" s="22"/>
      <c r="G214" s="23"/>
      <c r="H214" s="24" t="str">
        <f aca="false">IF(B214="","",IFERROR(INDEX('Start here'!$C$16:$C$20,MATCH(B214,'Start here'!$B$16:$B$20,0)),"Check vehicle"))</f>
        <v/>
      </c>
      <c r="I214" s="25" t="str">
        <f aca="false">IF(OR(F214="",H214&lt;&gt;"Car or van"),"",SUMIFS($F$6:F214,$H$6:H214,"Car or van"))</f>
        <v/>
      </c>
      <c r="J214" s="24" t="str">
        <f aca="false">IF(F214="","",IF(H214="Car or van",IF(O214=0,TEXT(INDEX('Notes and sources'!$C$6:$D$6,1,'Start here'!$C$11)*100,"0")&amp;"p",IF(N214=0,TEXT(INDEX('Notes and sources'!$C$7:$D$7,1,'Start here'!$C$11)*100,"0")&amp;"p",TEXT(INDEX('Notes and sources'!$C$6:$D$6,1,'Start here'!$C$11)*100,"0")&amp;"p/"&amp;TEXT(INDEX('Notes and sources'!$C$7:$D$7,1,'Start here'!$C$11)*100,"0")&amp;"p")),IF(H214="Motorcycle",TEXT(INDEX('Notes and sources'!$C$8:$D$8,1,'Start here'!$C$11)*100,"0")&amp;"p",IF(H214="Bicycle",TEXT(INDEX('Notes and sources'!$C$9:$D$9,1,'Start here'!$C$11)*100,"0")&amp;"p",""))))</f>
        <v/>
      </c>
      <c r="K214" s="26" t="str">
        <f aca="false">IF(F214="","",ROUND(IF(H214="Car or van",N214*INDEX('Notes and sources'!$C$6:$D$6,1,'Start here'!$C$11)+O214*INDEX('Notes and sources'!$C$7:$D$7,1,'Start here'!$C$11)+N(G214)*N(F214)*INDEX('Notes and sources'!$C$10:$D$10,1,'Start here'!$C$11),IF(H214="Motorcycle",N(F214)*INDEX('Notes and sources'!$C$8:$D$8,1,'Start here'!$C$11),IF(H214="Bicycle",N(F214)*INDEX('Notes and sources'!$C$9:$D$9,1,'Start here'!$C$11),0))),2))</f>
        <v/>
      </c>
      <c r="L214" s="27"/>
      <c r="N214" s="2" t="n">
        <f aca="false">IF(I214="",0,MAX(0,MIN(N(F214),INDEX('Notes and sources'!$C$12:$D$12,1,'Start here'!$C$11)-(I214-N(F214)))))</f>
        <v>0</v>
      </c>
      <c r="O214" s="2" t="n">
        <f aca="false">IF(I214="",0,N(F214)-N214)</f>
        <v>0</v>
      </c>
      <c r="P214" s="2" t="str">
        <f aca="false">IF(A214="","",IF(AND(MONTH(A214)=4,DAY(A214)&lt;6),13,MOD(MONTH(A214)-4,12)+1))</f>
        <v/>
      </c>
    </row>
    <row r="215" customFormat="false" ht="15" hidden="false" customHeight="false" outlineLevel="0" collapsed="false">
      <c r="A215" s="21"/>
      <c r="B215" s="6"/>
      <c r="C215" s="6"/>
      <c r="D215" s="6"/>
      <c r="E215" s="6"/>
      <c r="F215" s="22"/>
      <c r="G215" s="23"/>
      <c r="H215" s="24" t="str">
        <f aca="false">IF(B215="","",IFERROR(INDEX('Start here'!$C$16:$C$20,MATCH(B215,'Start here'!$B$16:$B$20,0)),"Check vehicle"))</f>
        <v/>
      </c>
      <c r="I215" s="25" t="str">
        <f aca="false">IF(OR(F215="",H215&lt;&gt;"Car or van"),"",SUMIFS($F$6:F215,$H$6:H215,"Car or van"))</f>
        <v/>
      </c>
      <c r="J215" s="24" t="str">
        <f aca="false">IF(F215="","",IF(H215="Car or van",IF(O215=0,TEXT(INDEX('Notes and sources'!$C$6:$D$6,1,'Start here'!$C$11)*100,"0")&amp;"p",IF(N215=0,TEXT(INDEX('Notes and sources'!$C$7:$D$7,1,'Start here'!$C$11)*100,"0")&amp;"p",TEXT(INDEX('Notes and sources'!$C$6:$D$6,1,'Start here'!$C$11)*100,"0")&amp;"p/"&amp;TEXT(INDEX('Notes and sources'!$C$7:$D$7,1,'Start here'!$C$11)*100,"0")&amp;"p")),IF(H215="Motorcycle",TEXT(INDEX('Notes and sources'!$C$8:$D$8,1,'Start here'!$C$11)*100,"0")&amp;"p",IF(H215="Bicycle",TEXT(INDEX('Notes and sources'!$C$9:$D$9,1,'Start here'!$C$11)*100,"0")&amp;"p",""))))</f>
        <v/>
      </c>
      <c r="K215" s="26" t="str">
        <f aca="false">IF(F215="","",ROUND(IF(H215="Car or van",N215*INDEX('Notes and sources'!$C$6:$D$6,1,'Start here'!$C$11)+O215*INDEX('Notes and sources'!$C$7:$D$7,1,'Start here'!$C$11)+N(G215)*N(F215)*INDEX('Notes and sources'!$C$10:$D$10,1,'Start here'!$C$11),IF(H215="Motorcycle",N(F215)*INDEX('Notes and sources'!$C$8:$D$8,1,'Start here'!$C$11),IF(H215="Bicycle",N(F215)*INDEX('Notes and sources'!$C$9:$D$9,1,'Start here'!$C$11),0))),2))</f>
        <v/>
      </c>
      <c r="L215" s="27"/>
      <c r="N215" s="2" t="n">
        <f aca="false">IF(I215="",0,MAX(0,MIN(N(F215),INDEX('Notes and sources'!$C$12:$D$12,1,'Start here'!$C$11)-(I215-N(F215)))))</f>
        <v>0</v>
      </c>
      <c r="O215" s="2" t="n">
        <f aca="false">IF(I215="",0,N(F215)-N215)</f>
        <v>0</v>
      </c>
      <c r="P215" s="2" t="str">
        <f aca="false">IF(A215="","",IF(AND(MONTH(A215)=4,DAY(A215)&lt;6),13,MOD(MONTH(A215)-4,12)+1))</f>
        <v/>
      </c>
    </row>
    <row r="216" customFormat="false" ht="15" hidden="false" customHeight="false" outlineLevel="0" collapsed="false">
      <c r="A216" s="21"/>
      <c r="B216" s="6"/>
      <c r="C216" s="6"/>
      <c r="D216" s="6"/>
      <c r="E216" s="6"/>
      <c r="F216" s="22"/>
      <c r="G216" s="23"/>
      <c r="H216" s="24" t="str">
        <f aca="false">IF(B216="","",IFERROR(INDEX('Start here'!$C$16:$C$20,MATCH(B216,'Start here'!$B$16:$B$20,0)),"Check vehicle"))</f>
        <v/>
      </c>
      <c r="I216" s="25" t="str">
        <f aca="false">IF(OR(F216="",H216&lt;&gt;"Car or van"),"",SUMIFS($F$6:F216,$H$6:H216,"Car or van"))</f>
        <v/>
      </c>
      <c r="J216" s="24" t="str">
        <f aca="false">IF(F216="","",IF(H216="Car or van",IF(O216=0,TEXT(INDEX('Notes and sources'!$C$6:$D$6,1,'Start here'!$C$11)*100,"0")&amp;"p",IF(N216=0,TEXT(INDEX('Notes and sources'!$C$7:$D$7,1,'Start here'!$C$11)*100,"0")&amp;"p",TEXT(INDEX('Notes and sources'!$C$6:$D$6,1,'Start here'!$C$11)*100,"0")&amp;"p/"&amp;TEXT(INDEX('Notes and sources'!$C$7:$D$7,1,'Start here'!$C$11)*100,"0")&amp;"p")),IF(H216="Motorcycle",TEXT(INDEX('Notes and sources'!$C$8:$D$8,1,'Start here'!$C$11)*100,"0")&amp;"p",IF(H216="Bicycle",TEXT(INDEX('Notes and sources'!$C$9:$D$9,1,'Start here'!$C$11)*100,"0")&amp;"p",""))))</f>
        <v/>
      </c>
      <c r="K216" s="26" t="str">
        <f aca="false">IF(F216="","",ROUND(IF(H216="Car or van",N216*INDEX('Notes and sources'!$C$6:$D$6,1,'Start here'!$C$11)+O216*INDEX('Notes and sources'!$C$7:$D$7,1,'Start here'!$C$11)+N(G216)*N(F216)*INDEX('Notes and sources'!$C$10:$D$10,1,'Start here'!$C$11),IF(H216="Motorcycle",N(F216)*INDEX('Notes and sources'!$C$8:$D$8,1,'Start here'!$C$11),IF(H216="Bicycle",N(F216)*INDEX('Notes and sources'!$C$9:$D$9,1,'Start here'!$C$11),0))),2))</f>
        <v/>
      </c>
      <c r="L216" s="27"/>
      <c r="N216" s="2" t="n">
        <f aca="false">IF(I216="",0,MAX(0,MIN(N(F216),INDEX('Notes and sources'!$C$12:$D$12,1,'Start here'!$C$11)-(I216-N(F216)))))</f>
        <v>0</v>
      </c>
      <c r="O216" s="2" t="n">
        <f aca="false">IF(I216="",0,N(F216)-N216)</f>
        <v>0</v>
      </c>
      <c r="P216" s="2" t="str">
        <f aca="false">IF(A216="","",IF(AND(MONTH(A216)=4,DAY(A216)&lt;6),13,MOD(MONTH(A216)-4,12)+1))</f>
        <v/>
      </c>
    </row>
    <row r="217" customFormat="false" ht="15" hidden="false" customHeight="false" outlineLevel="0" collapsed="false">
      <c r="A217" s="21"/>
      <c r="B217" s="6"/>
      <c r="C217" s="6"/>
      <c r="D217" s="6"/>
      <c r="E217" s="6"/>
      <c r="F217" s="22"/>
      <c r="G217" s="23"/>
      <c r="H217" s="24" t="str">
        <f aca="false">IF(B217="","",IFERROR(INDEX('Start here'!$C$16:$C$20,MATCH(B217,'Start here'!$B$16:$B$20,0)),"Check vehicle"))</f>
        <v/>
      </c>
      <c r="I217" s="25" t="str">
        <f aca="false">IF(OR(F217="",H217&lt;&gt;"Car or van"),"",SUMIFS($F$6:F217,$H$6:H217,"Car or van"))</f>
        <v/>
      </c>
      <c r="J217" s="24" t="str">
        <f aca="false">IF(F217="","",IF(H217="Car or van",IF(O217=0,TEXT(INDEX('Notes and sources'!$C$6:$D$6,1,'Start here'!$C$11)*100,"0")&amp;"p",IF(N217=0,TEXT(INDEX('Notes and sources'!$C$7:$D$7,1,'Start here'!$C$11)*100,"0")&amp;"p",TEXT(INDEX('Notes and sources'!$C$6:$D$6,1,'Start here'!$C$11)*100,"0")&amp;"p/"&amp;TEXT(INDEX('Notes and sources'!$C$7:$D$7,1,'Start here'!$C$11)*100,"0")&amp;"p")),IF(H217="Motorcycle",TEXT(INDEX('Notes and sources'!$C$8:$D$8,1,'Start here'!$C$11)*100,"0")&amp;"p",IF(H217="Bicycle",TEXT(INDEX('Notes and sources'!$C$9:$D$9,1,'Start here'!$C$11)*100,"0")&amp;"p",""))))</f>
        <v/>
      </c>
      <c r="K217" s="26" t="str">
        <f aca="false">IF(F217="","",ROUND(IF(H217="Car or van",N217*INDEX('Notes and sources'!$C$6:$D$6,1,'Start here'!$C$11)+O217*INDEX('Notes and sources'!$C$7:$D$7,1,'Start here'!$C$11)+N(G217)*N(F217)*INDEX('Notes and sources'!$C$10:$D$10,1,'Start here'!$C$11),IF(H217="Motorcycle",N(F217)*INDEX('Notes and sources'!$C$8:$D$8,1,'Start here'!$C$11),IF(H217="Bicycle",N(F217)*INDEX('Notes and sources'!$C$9:$D$9,1,'Start here'!$C$11),0))),2))</f>
        <v/>
      </c>
      <c r="L217" s="27"/>
      <c r="N217" s="2" t="n">
        <f aca="false">IF(I217="",0,MAX(0,MIN(N(F217),INDEX('Notes and sources'!$C$12:$D$12,1,'Start here'!$C$11)-(I217-N(F217)))))</f>
        <v>0</v>
      </c>
      <c r="O217" s="2" t="n">
        <f aca="false">IF(I217="",0,N(F217)-N217)</f>
        <v>0</v>
      </c>
      <c r="P217" s="2" t="str">
        <f aca="false">IF(A217="","",IF(AND(MONTH(A217)=4,DAY(A217)&lt;6),13,MOD(MONTH(A217)-4,12)+1))</f>
        <v/>
      </c>
    </row>
    <row r="218" customFormat="false" ht="15" hidden="false" customHeight="false" outlineLevel="0" collapsed="false">
      <c r="A218" s="21"/>
      <c r="B218" s="6"/>
      <c r="C218" s="6"/>
      <c r="D218" s="6"/>
      <c r="E218" s="6"/>
      <c r="F218" s="22"/>
      <c r="G218" s="23"/>
      <c r="H218" s="24" t="str">
        <f aca="false">IF(B218="","",IFERROR(INDEX('Start here'!$C$16:$C$20,MATCH(B218,'Start here'!$B$16:$B$20,0)),"Check vehicle"))</f>
        <v/>
      </c>
      <c r="I218" s="25" t="str">
        <f aca="false">IF(OR(F218="",H218&lt;&gt;"Car or van"),"",SUMIFS($F$6:F218,$H$6:H218,"Car or van"))</f>
        <v/>
      </c>
      <c r="J218" s="24" t="str">
        <f aca="false">IF(F218="","",IF(H218="Car or van",IF(O218=0,TEXT(INDEX('Notes and sources'!$C$6:$D$6,1,'Start here'!$C$11)*100,"0")&amp;"p",IF(N218=0,TEXT(INDEX('Notes and sources'!$C$7:$D$7,1,'Start here'!$C$11)*100,"0")&amp;"p",TEXT(INDEX('Notes and sources'!$C$6:$D$6,1,'Start here'!$C$11)*100,"0")&amp;"p/"&amp;TEXT(INDEX('Notes and sources'!$C$7:$D$7,1,'Start here'!$C$11)*100,"0")&amp;"p")),IF(H218="Motorcycle",TEXT(INDEX('Notes and sources'!$C$8:$D$8,1,'Start here'!$C$11)*100,"0")&amp;"p",IF(H218="Bicycle",TEXT(INDEX('Notes and sources'!$C$9:$D$9,1,'Start here'!$C$11)*100,"0")&amp;"p",""))))</f>
        <v/>
      </c>
      <c r="K218" s="26" t="str">
        <f aca="false">IF(F218="","",ROUND(IF(H218="Car or van",N218*INDEX('Notes and sources'!$C$6:$D$6,1,'Start here'!$C$11)+O218*INDEX('Notes and sources'!$C$7:$D$7,1,'Start here'!$C$11)+N(G218)*N(F218)*INDEX('Notes and sources'!$C$10:$D$10,1,'Start here'!$C$11),IF(H218="Motorcycle",N(F218)*INDEX('Notes and sources'!$C$8:$D$8,1,'Start here'!$C$11),IF(H218="Bicycle",N(F218)*INDEX('Notes and sources'!$C$9:$D$9,1,'Start here'!$C$11),0))),2))</f>
        <v/>
      </c>
      <c r="L218" s="27"/>
      <c r="N218" s="2" t="n">
        <f aca="false">IF(I218="",0,MAX(0,MIN(N(F218),INDEX('Notes and sources'!$C$12:$D$12,1,'Start here'!$C$11)-(I218-N(F218)))))</f>
        <v>0</v>
      </c>
      <c r="O218" s="2" t="n">
        <f aca="false">IF(I218="",0,N(F218)-N218)</f>
        <v>0</v>
      </c>
      <c r="P218" s="2" t="str">
        <f aca="false">IF(A218="","",IF(AND(MONTH(A218)=4,DAY(A218)&lt;6),13,MOD(MONTH(A218)-4,12)+1))</f>
        <v/>
      </c>
    </row>
    <row r="219" customFormat="false" ht="15" hidden="false" customHeight="false" outlineLevel="0" collapsed="false">
      <c r="A219" s="21"/>
      <c r="B219" s="6"/>
      <c r="C219" s="6"/>
      <c r="D219" s="6"/>
      <c r="E219" s="6"/>
      <c r="F219" s="22"/>
      <c r="G219" s="23"/>
      <c r="H219" s="24" t="str">
        <f aca="false">IF(B219="","",IFERROR(INDEX('Start here'!$C$16:$C$20,MATCH(B219,'Start here'!$B$16:$B$20,0)),"Check vehicle"))</f>
        <v/>
      </c>
      <c r="I219" s="25" t="str">
        <f aca="false">IF(OR(F219="",H219&lt;&gt;"Car or van"),"",SUMIFS($F$6:F219,$H$6:H219,"Car or van"))</f>
        <v/>
      </c>
      <c r="J219" s="24" t="str">
        <f aca="false">IF(F219="","",IF(H219="Car or van",IF(O219=0,TEXT(INDEX('Notes and sources'!$C$6:$D$6,1,'Start here'!$C$11)*100,"0")&amp;"p",IF(N219=0,TEXT(INDEX('Notes and sources'!$C$7:$D$7,1,'Start here'!$C$11)*100,"0")&amp;"p",TEXT(INDEX('Notes and sources'!$C$6:$D$6,1,'Start here'!$C$11)*100,"0")&amp;"p/"&amp;TEXT(INDEX('Notes and sources'!$C$7:$D$7,1,'Start here'!$C$11)*100,"0")&amp;"p")),IF(H219="Motorcycle",TEXT(INDEX('Notes and sources'!$C$8:$D$8,1,'Start here'!$C$11)*100,"0")&amp;"p",IF(H219="Bicycle",TEXT(INDEX('Notes and sources'!$C$9:$D$9,1,'Start here'!$C$11)*100,"0")&amp;"p",""))))</f>
        <v/>
      </c>
      <c r="K219" s="26" t="str">
        <f aca="false">IF(F219="","",ROUND(IF(H219="Car or van",N219*INDEX('Notes and sources'!$C$6:$D$6,1,'Start here'!$C$11)+O219*INDEX('Notes and sources'!$C$7:$D$7,1,'Start here'!$C$11)+N(G219)*N(F219)*INDEX('Notes and sources'!$C$10:$D$10,1,'Start here'!$C$11),IF(H219="Motorcycle",N(F219)*INDEX('Notes and sources'!$C$8:$D$8,1,'Start here'!$C$11),IF(H219="Bicycle",N(F219)*INDEX('Notes and sources'!$C$9:$D$9,1,'Start here'!$C$11),0))),2))</f>
        <v/>
      </c>
      <c r="L219" s="27"/>
      <c r="N219" s="2" t="n">
        <f aca="false">IF(I219="",0,MAX(0,MIN(N(F219),INDEX('Notes and sources'!$C$12:$D$12,1,'Start here'!$C$11)-(I219-N(F219)))))</f>
        <v>0</v>
      </c>
      <c r="O219" s="2" t="n">
        <f aca="false">IF(I219="",0,N(F219)-N219)</f>
        <v>0</v>
      </c>
      <c r="P219" s="2" t="str">
        <f aca="false">IF(A219="","",IF(AND(MONTH(A219)=4,DAY(A219)&lt;6),13,MOD(MONTH(A219)-4,12)+1))</f>
        <v/>
      </c>
    </row>
    <row r="220" customFormat="false" ht="15" hidden="false" customHeight="false" outlineLevel="0" collapsed="false">
      <c r="A220" s="21"/>
      <c r="B220" s="6"/>
      <c r="C220" s="6"/>
      <c r="D220" s="6"/>
      <c r="E220" s="6"/>
      <c r="F220" s="22"/>
      <c r="G220" s="23"/>
      <c r="H220" s="24" t="str">
        <f aca="false">IF(B220="","",IFERROR(INDEX('Start here'!$C$16:$C$20,MATCH(B220,'Start here'!$B$16:$B$20,0)),"Check vehicle"))</f>
        <v/>
      </c>
      <c r="I220" s="25" t="str">
        <f aca="false">IF(OR(F220="",H220&lt;&gt;"Car or van"),"",SUMIFS($F$6:F220,$H$6:H220,"Car or van"))</f>
        <v/>
      </c>
      <c r="J220" s="24" t="str">
        <f aca="false">IF(F220="","",IF(H220="Car or van",IF(O220=0,TEXT(INDEX('Notes and sources'!$C$6:$D$6,1,'Start here'!$C$11)*100,"0")&amp;"p",IF(N220=0,TEXT(INDEX('Notes and sources'!$C$7:$D$7,1,'Start here'!$C$11)*100,"0")&amp;"p",TEXT(INDEX('Notes and sources'!$C$6:$D$6,1,'Start here'!$C$11)*100,"0")&amp;"p/"&amp;TEXT(INDEX('Notes and sources'!$C$7:$D$7,1,'Start here'!$C$11)*100,"0")&amp;"p")),IF(H220="Motorcycle",TEXT(INDEX('Notes and sources'!$C$8:$D$8,1,'Start here'!$C$11)*100,"0")&amp;"p",IF(H220="Bicycle",TEXT(INDEX('Notes and sources'!$C$9:$D$9,1,'Start here'!$C$11)*100,"0")&amp;"p",""))))</f>
        <v/>
      </c>
      <c r="K220" s="26" t="str">
        <f aca="false">IF(F220="","",ROUND(IF(H220="Car or van",N220*INDEX('Notes and sources'!$C$6:$D$6,1,'Start here'!$C$11)+O220*INDEX('Notes and sources'!$C$7:$D$7,1,'Start here'!$C$11)+N(G220)*N(F220)*INDEX('Notes and sources'!$C$10:$D$10,1,'Start here'!$C$11),IF(H220="Motorcycle",N(F220)*INDEX('Notes and sources'!$C$8:$D$8,1,'Start here'!$C$11),IF(H220="Bicycle",N(F220)*INDEX('Notes and sources'!$C$9:$D$9,1,'Start here'!$C$11),0))),2))</f>
        <v/>
      </c>
      <c r="L220" s="27"/>
      <c r="N220" s="2" t="n">
        <f aca="false">IF(I220="",0,MAX(0,MIN(N(F220),INDEX('Notes and sources'!$C$12:$D$12,1,'Start here'!$C$11)-(I220-N(F220)))))</f>
        <v>0</v>
      </c>
      <c r="O220" s="2" t="n">
        <f aca="false">IF(I220="",0,N(F220)-N220)</f>
        <v>0</v>
      </c>
      <c r="P220" s="2" t="str">
        <f aca="false">IF(A220="","",IF(AND(MONTH(A220)=4,DAY(A220)&lt;6),13,MOD(MONTH(A220)-4,12)+1))</f>
        <v/>
      </c>
    </row>
    <row r="221" customFormat="false" ht="15" hidden="false" customHeight="false" outlineLevel="0" collapsed="false">
      <c r="A221" s="21"/>
      <c r="B221" s="6"/>
      <c r="C221" s="6"/>
      <c r="D221" s="6"/>
      <c r="E221" s="6"/>
      <c r="F221" s="22"/>
      <c r="G221" s="23"/>
      <c r="H221" s="24" t="str">
        <f aca="false">IF(B221="","",IFERROR(INDEX('Start here'!$C$16:$C$20,MATCH(B221,'Start here'!$B$16:$B$20,0)),"Check vehicle"))</f>
        <v/>
      </c>
      <c r="I221" s="25" t="str">
        <f aca="false">IF(OR(F221="",H221&lt;&gt;"Car or van"),"",SUMIFS($F$6:F221,$H$6:H221,"Car or van"))</f>
        <v/>
      </c>
      <c r="J221" s="24" t="str">
        <f aca="false">IF(F221="","",IF(H221="Car or van",IF(O221=0,TEXT(INDEX('Notes and sources'!$C$6:$D$6,1,'Start here'!$C$11)*100,"0")&amp;"p",IF(N221=0,TEXT(INDEX('Notes and sources'!$C$7:$D$7,1,'Start here'!$C$11)*100,"0")&amp;"p",TEXT(INDEX('Notes and sources'!$C$6:$D$6,1,'Start here'!$C$11)*100,"0")&amp;"p/"&amp;TEXT(INDEX('Notes and sources'!$C$7:$D$7,1,'Start here'!$C$11)*100,"0")&amp;"p")),IF(H221="Motorcycle",TEXT(INDEX('Notes and sources'!$C$8:$D$8,1,'Start here'!$C$11)*100,"0")&amp;"p",IF(H221="Bicycle",TEXT(INDEX('Notes and sources'!$C$9:$D$9,1,'Start here'!$C$11)*100,"0")&amp;"p",""))))</f>
        <v/>
      </c>
      <c r="K221" s="26" t="str">
        <f aca="false">IF(F221="","",ROUND(IF(H221="Car or van",N221*INDEX('Notes and sources'!$C$6:$D$6,1,'Start here'!$C$11)+O221*INDEX('Notes and sources'!$C$7:$D$7,1,'Start here'!$C$11)+N(G221)*N(F221)*INDEX('Notes and sources'!$C$10:$D$10,1,'Start here'!$C$11),IF(H221="Motorcycle",N(F221)*INDEX('Notes and sources'!$C$8:$D$8,1,'Start here'!$C$11),IF(H221="Bicycle",N(F221)*INDEX('Notes and sources'!$C$9:$D$9,1,'Start here'!$C$11),0))),2))</f>
        <v/>
      </c>
      <c r="L221" s="27"/>
      <c r="N221" s="2" t="n">
        <f aca="false">IF(I221="",0,MAX(0,MIN(N(F221),INDEX('Notes and sources'!$C$12:$D$12,1,'Start here'!$C$11)-(I221-N(F221)))))</f>
        <v>0</v>
      </c>
      <c r="O221" s="2" t="n">
        <f aca="false">IF(I221="",0,N(F221)-N221)</f>
        <v>0</v>
      </c>
      <c r="P221" s="2" t="str">
        <f aca="false">IF(A221="","",IF(AND(MONTH(A221)=4,DAY(A221)&lt;6),13,MOD(MONTH(A221)-4,12)+1))</f>
        <v/>
      </c>
    </row>
    <row r="222" customFormat="false" ht="15" hidden="false" customHeight="false" outlineLevel="0" collapsed="false">
      <c r="A222" s="21"/>
      <c r="B222" s="6"/>
      <c r="C222" s="6"/>
      <c r="D222" s="6"/>
      <c r="E222" s="6"/>
      <c r="F222" s="22"/>
      <c r="G222" s="23"/>
      <c r="H222" s="24" t="str">
        <f aca="false">IF(B222="","",IFERROR(INDEX('Start here'!$C$16:$C$20,MATCH(B222,'Start here'!$B$16:$B$20,0)),"Check vehicle"))</f>
        <v/>
      </c>
      <c r="I222" s="25" t="str">
        <f aca="false">IF(OR(F222="",H222&lt;&gt;"Car or van"),"",SUMIFS($F$6:F222,$H$6:H222,"Car or van"))</f>
        <v/>
      </c>
      <c r="J222" s="24" t="str">
        <f aca="false">IF(F222="","",IF(H222="Car or van",IF(O222=0,TEXT(INDEX('Notes and sources'!$C$6:$D$6,1,'Start here'!$C$11)*100,"0")&amp;"p",IF(N222=0,TEXT(INDEX('Notes and sources'!$C$7:$D$7,1,'Start here'!$C$11)*100,"0")&amp;"p",TEXT(INDEX('Notes and sources'!$C$6:$D$6,1,'Start here'!$C$11)*100,"0")&amp;"p/"&amp;TEXT(INDEX('Notes and sources'!$C$7:$D$7,1,'Start here'!$C$11)*100,"0")&amp;"p")),IF(H222="Motorcycle",TEXT(INDEX('Notes and sources'!$C$8:$D$8,1,'Start here'!$C$11)*100,"0")&amp;"p",IF(H222="Bicycle",TEXT(INDEX('Notes and sources'!$C$9:$D$9,1,'Start here'!$C$11)*100,"0")&amp;"p",""))))</f>
        <v/>
      </c>
      <c r="K222" s="26" t="str">
        <f aca="false">IF(F222="","",ROUND(IF(H222="Car or van",N222*INDEX('Notes and sources'!$C$6:$D$6,1,'Start here'!$C$11)+O222*INDEX('Notes and sources'!$C$7:$D$7,1,'Start here'!$C$11)+N(G222)*N(F222)*INDEX('Notes and sources'!$C$10:$D$10,1,'Start here'!$C$11),IF(H222="Motorcycle",N(F222)*INDEX('Notes and sources'!$C$8:$D$8,1,'Start here'!$C$11),IF(H222="Bicycle",N(F222)*INDEX('Notes and sources'!$C$9:$D$9,1,'Start here'!$C$11),0))),2))</f>
        <v/>
      </c>
      <c r="L222" s="27"/>
      <c r="N222" s="2" t="n">
        <f aca="false">IF(I222="",0,MAX(0,MIN(N(F222),INDEX('Notes and sources'!$C$12:$D$12,1,'Start here'!$C$11)-(I222-N(F222)))))</f>
        <v>0</v>
      </c>
      <c r="O222" s="2" t="n">
        <f aca="false">IF(I222="",0,N(F222)-N222)</f>
        <v>0</v>
      </c>
      <c r="P222" s="2" t="str">
        <f aca="false">IF(A222="","",IF(AND(MONTH(A222)=4,DAY(A222)&lt;6),13,MOD(MONTH(A222)-4,12)+1))</f>
        <v/>
      </c>
    </row>
    <row r="223" customFormat="false" ht="15" hidden="false" customHeight="false" outlineLevel="0" collapsed="false">
      <c r="A223" s="21"/>
      <c r="B223" s="6"/>
      <c r="C223" s="6"/>
      <c r="D223" s="6"/>
      <c r="E223" s="6"/>
      <c r="F223" s="22"/>
      <c r="G223" s="23"/>
      <c r="H223" s="24" t="str">
        <f aca="false">IF(B223="","",IFERROR(INDEX('Start here'!$C$16:$C$20,MATCH(B223,'Start here'!$B$16:$B$20,0)),"Check vehicle"))</f>
        <v/>
      </c>
      <c r="I223" s="25" t="str">
        <f aca="false">IF(OR(F223="",H223&lt;&gt;"Car or van"),"",SUMIFS($F$6:F223,$H$6:H223,"Car or van"))</f>
        <v/>
      </c>
      <c r="J223" s="24" t="str">
        <f aca="false">IF(F223="","",IF(H223="Car or van",IF(O223=0,TEXT(INDEX('Notes and sources'!$C$6:$D$6,1,'Start here'!$C$11)*100,"0")&amp;"p",IF(N223=0,TEXT(INDEX('Notes and sources'!$C$7:$D$7,1,'Start here'!$C$11)*100,"0")&amp;"p",TEXT(INDEX('Notes and sources'!$C$6:$D$6,1,'Start here'!$C$11)*100,"0")&amp;"p/"&amp;TEXT(INDEX('Notes and sources'!$C$7:$D$7,1,'Start here'!$C$11)*100,"0")&amp;"p")),IF(H223="Motorcycle",TEXT(INDEX('Notes and sources'!$C$8:$D$8,1,'Start here'!$C$11)*100,"0")&amp;"p",IF(H223="Bicycle",TEXT(INDEX('Notes and sources'!$C$9:$D$9,1,'Start here'!$C$11)*100,"0")&amp;"p",""))))</f>
        <v/>
      </c>
      <c r="K223" s="26" t="str">
        <f aca="false">IF(F223="","",ROUND(IF(H223="Car or van",N223*INDEX('Notes and sources'!$C$6:$D$6,1,'Start here'!$C$11)+O223*INDEX('Notes and sources'!$C$7:$D$7,1,'Start here'!$C$11)+N(G223)*N(F223)*INDEX('Notes and sources'!$C$10:$D$10,1,'Start here'!$C$11),IF(H223="Motorcycle",N(F223)*INDEX('Notes and sources'!$C$8:$D$8,1,'Start here'!$C$11),IF(H223="Bicycle",N(F223)*INDEX('Notes and sources'!$C$9:$D$9,1,'Start here'!$C$11),0))),2))</f>
        <v/>
      </c>
      <c r="L223" s="27"/>
      <c r="N223" s="2" t="n">
        <f aca="false">IF(I223="",0,MAX(0,MIN(N(F223),INDEX('Notes and sources'!$C$12:$D$12,1,'Start here'!$C$11)-(I223-N(F223)))))</f>
        <v>0</v>
      </c>
      <c r="O223" s="2" t="n">
        <f aca="false">IF(I223="",0,N(F223)-N223)</f>
        <v>0</v>
      </c>
      <c r="P223" s="2" t="str">
        <f aca="false">IF(A223="","",IF(AND(MONTH(A223)=4,DAY(A223)&lt;6),13,MOD(MONTH(A223)-4,12)+1))</f>
        <v/>
      </c>
    </row>
    <row r="224" customFormat="false" ht="15" hidden="false" customHeight="false" outlineLevel="0" collapsed="false">
      <c r="A224" s="21"/>
      <c r="B224" s="6"/>
      <c r="C224" s="6"/>
      <c r="D224" s="6"/>
      <c r="E224" s="6"/>
      <c r="F224" s="22"/>
      <c r="G224" s="23"/>
      <c r="H224" s="24" t="str">
        <f aca="false">IF(B224="","",IFERROR(INDEX('Start here'!$C$16:$C$20,MATCH(B224,'Start here'!$B$16:$B$20,0)),"Check vehicle"))</f>
        <v/>
      </c>
      <c r="I224" s="25" t="str">
        <f aca="false">IF(OR(F224="",H224&lt;&gt;"Car or van"),"",SUMIFS($F$6:F224,$H$6:H224,"Car or van"))</f>
        <v/>
      </c>
      <c r="J224" s="24" t="str">
        <f aca="false">IF(F224="","",IF(H224="Car or van",IF(O224=0,TEXT(INDEX('Notes and sources'!$C$6:$D$6,1,'Start here'!$C$11)*100,"0")&amp;"p",IF(N224=0,TEXT(INDEX('Notes and sources'!$C$7:$D$7,1,'Start here'!$C$11)*100,"0")&amp;"p",TEXT(INDEX('Notes and sources'!$C$6:$D$6,1,'Start here'!$C$11)*100,"0")&amp;"p/"&amp;TEXT(INDEX('Notes and sources'!$C$7:$D$7,1,'Start here'!$C$11)*100,"0")&amp;"p")),IF(H224="Motorcycle",TEXT(INDEX('Notes and sources'!$C$8:$D$8,1,'Start here'!$C$11)*100,"0")&amp;"p",IF(H224="Bicycle",TEXT(INDEX('Notes and sources'!$C$9:$D$9,1,'Start here'!$C$11)*100,"0")&amp;"p",""))))</f>
        <v/>
      </c>
      <c r="K224" s="26" t="str">
        <f aca="false">IF(F224="","",ROUND(IF(H224="Car or van",N224*INDEX('Notes and sources'!$C$6:$D$6,1,'Start here'!$C$11)+O224*INDEX('Notes and sources'!$C$7:$D$7,1,'Start here'!$C$11)+N(G224)*N(F224)*INDEX('Notes and sources'!$C$10:$D$10,1,'Start here'!$C$11),IF(H224="Motorcycle",N(F224)*INDEX('Notes and sources'!$C$8:$D$8,1,'Start here'!$C$11),IF(H224="Bicycle",N(F224)*INDEX('Notes and sources'!$C$9:$D$9,1,'Start here'!$C$11),0))),2))</f>
        <v/>
      </c>
      <c r="L224" s="27"/>
      <c r="N224" s="2" t="n">
        <f aca="false">IF(I224="",0,MAX(0,MIN(N(F224),INDEX('Notes and sources'!$C$12:$D$12,1,'Start here'!$C$11)-(I224-N(F224)))))</f>
        <v>0</v>
      </c>
      <c r="O224" s="2" t="n">
        <f aca="false">IF(I224="",0,N(F224)-N224)</f>
        <v>0</v>
      </c>
      <c r="P224" s="2" t="str">
        <f aca="false">IF(A224="","",IF(AND(MONTH(A224)=4,DAY(A224)&lt;6),13,MOD(MONTH(A224)-4,12)+1))</f>
        <v/>
      </c>
    </row>
    <row r="225" customFormat="false" ht="15" hidden="false" customHeight="false" outlineLevel="0" collapsed="false">
      <c r="A225" s="21"/>
      <c r="B225" s="6"/>
      <c r="C225" s="6"/>
      <c r="D225" s="6"/>
      <c r="E225" s="6"/>
      <c r="F225" s="22"/>
      <c r="G225" s="23"/>
      <c r="H225" s="24" t="str">
        <f aca="false">IF(B225="","",IFERROR(INDEX('Start here'!$C$16:$C$20,MATCH(B225,'Start here'!$B$16:$B$20,0)),"Check vehicle"))</f>
        <v/>
      </c>
      <c r="I225" s="25" t="str">
        <f aca="false">IF(OR(F225="",H225&lt;&gt;"Car or van"),"",SUMIFS($F$6:F225,$H$6:H225,"Car or van"))</f>
        <v/>
      </c>
      <c r="J225" s="24" t="str">
        <f aca="false">IF(F225="","",IF(H225="Car or van",IF(O225=0,TEXT(INDEX('Notes and sources'!$C$6:$D$6,1,'Start here'!$C$11)*100,"0")&amp;"p",IF(N225=0,TEXT(INDEX('Notes and sources'!$C$7:$D$7,1,'Start here'!$C$11)*100,"0")&amp;"p",TEXT(INDEX('Notes and sources'!$C$6:$D$6,1,'Start here'!$C$11)*100,"0")&amp;"p/"&amp;TEXT(INDEX('Notes and sources'!$C$7:$D$7,1,'Start here'!$C$11)*100,"0")&amp;"p")),IF(H225="Motorcycle",TEXT(INDEX('Notes and sources'!$C$8:$D$8,1,'Start here'!$C$11)*100,"0")&amp;"p",IF(H225="Bicycle",TEXT(INDEX('Notes and sources'!$C$9:$D$9,1,'Start here'!$C$11)*100,"0")&amp;"p",""))))</f>
        <v/>
      </c>
      <c r="K225" s="26" t="str">
        <f aca="false">IF(F225="","",ROUND(IF(H225="Car or van",N225*INDEX('Notes and sources'!$C$6:$D$6,1,'Start here'!$C$11)+O225*INDEX('Notes and sources'!$C$7:$D$7,1,'Start here'!$C$11)+N(G225)*N(F225)*INDEX('Notes and sources'!$C$10:$D$10,1,'Start here'!$C$11),IF(H225="Motorcycle",N(F225)*INDEX('Notes and sources'!$C$8:$D$8,1,'Start here'!$C$11),IF(H225="Bicycle",N(F225)*INDEX('Notes and sources'!$C$9:$D$9,1,'Start here'!$C$11),0))),2))</f>
        <v/>
      </c>
      <c r="L225" s="27"/>
      <c r="N225" s="2" t="n">
        <f aca="false">IF(I225="",0,MAX(0,MIN(N(F225),INDEX('Notes and sources'!$C$12:$D$12,1,'Start here'!$C$11)-(I225-N(F225)))))</f>
        <v>0</v>
      </c>
      <c r="O225" s="2" t="n">
        <f aca="false">IF(I225="",0,N(F225)-N225)</f>
        <v>0</v>
      </c>
      <c r="P225" s="2" t="str">
        <f aca="false">IF(A225="","",IF(AND(MONTH(A225)=4,DAY(A225)&lt;6),13,MOD(MONTH(A225)-4,12)+1))</f>
        <v/>
      </c>
    </row>
    <row r="226" customFormat="false" ht="15" hidden="false" customHeight="false" outlineLevel="0" collapsed="false">
      <c r="A226" s="21"/>
      <c r="B226" s="6"/>
      <c r="C226" s="6"/>
      <c r="D226" s="6"/>
      <c r="E226" s="6"/>
      <c r="F226" s="22"/>
      <c r="G226" s="23"/>
      <c r="H226" s="24" t="str">
        <f aca="false">IF(B226="","",IFERROR(INDEX('Start here'!$C$16:$C$20,MATCH(B226,'Start here'!$B$16:$B$20,0)),"Check vehicle"))</f>
        <v/>
      </c>
      <c r="I226" s="25" t="str">
        <f aca="false">IF(OR(F226="",H226&lt;&gt;"Car or van"),"",SUMIFS($F$6:F226,$H$6:H226,"Car or van"))</f>
        <v/>
      </c>
      <c r="J226" s="24" t="str">
        <f aca="false">IF(F226="","",IF(H226="Car or van",IF(O226=0,TEXT(INDEX('Notes and sources'!$C$6:$D$6,1,'Start here'!$C$11)*100,"0")&amp;"p",IF(N226=0,TEXT(INDEX('Notes and sources'!$C$7:$D$7,1,'Start here'!$C$11)*100,"0")&amp;"p",TEXT(INDEX('Notes and sources'!$C$6:$D$6,1,'Start here'!$C$11)*100,"0")&amp;"p/"&amp;TEXT(INDEX('Notes and sources'!$C$7:$D$7,1,'Start here'!$C$11)*100,"0")&amp;"p")),IF(H226="Motorcycle",TEXT(INDEX('Notes and sources'!$C$8:$D$8,1,'Start here'!$C$11)*100,"0")&amp;"p",IF(H226="Bicycle",TEXT(INDEX('Notes and sources'!$C$9:$D$9,1,'Start here'!$C$11)*100,"0")&amp;"p",""))))</f>
        <v/>
      </c>
      <c r="K226" s="26" t="str">
        <f aca="false">IF(F226="","",ROUND(IF(H226="Car or van",N226*INDEX('Notes and sources'!$C$6:$D$6,1,'Start here'!$C$11)+O226*INDEX('Notes and sources'!$C$7:$D$7,1,'Start here'!$C$11)+N(G226)*N(F226)*INDEX('Notes and sources'!$C$10:$D$10,1,'Start here'!$C$11),IF(H226="Motorcycle",N(F226)*INDEX('Notes and sources'!$C$8:$D$8,1,'Start here'!$C$11),IF(H226="Bicycle",N(F226)*INDEX('Notes and sources'!$C$9:$D$9,1,'Start here'!$C$11),0))),2))</f>
        <v/>
      </c>
      <c r="L226" s="27"/>
      <c r="N226" s="2" t="n">
        <f aca="false">IF(I226="",0,MAX(0,MIN(N(F226),INDEX('Notes and sources'!$C$12:$D$12,1,'Start here'!$C$11)-(I226-N(F226)))))</f>
        <v>0</v>
      </c>
      <c r="O226" s="2" t="n">
        <f aca="false">IF(I226="",0,N(F226)-N226)</f>
        <v>0</v>
      </c>
      <c r="P226" s="2" t="str">
        <f aca="false">IF(A226="","",IF(AND(MONTH(A226)=4,DAY(A226)&lt;6),13,MOD(MONTH(A226)-4,12)+1))</f>
        <v/>
      </c>
    </row>
    <row r="227" customFormat="false" ht="15" hidden="false" customHeight="false" outlineLevel="0" collapsed="false">
      <c r="A227" s="21"/>
      <c r="B227" s="6"/>
      <c r="C227" s="6"/>
      <c r="D227" s="6"/>
      <c r="E227" s="6"/>
      <c r="F227" s="22"/>
      <c r="G227" s="23"/>
      <c r="H227" s="24" t="str">
        <f aca="false">IF(B227="","",IFERROR(INDEX('Start here'!$C$16:$C$20,MATCH(B227,'Start here'!$B$16:$B$20,0)),"Check vehicle"))</f>
        <v/>
      </c>
      <c r="I227" s="25" t="str">
        <f aca="false">IF(OR(F227="",H227&lt;&gt;"Car or van"),"",SUMIFS($F$6:F227,$H$6:H227,"Car or van"))</f>
        <v/>
      </c>
      <c r="J227" s="24" t="str">
        <f aca="false">IF(F227="","",IF(H227="Car or van",IF(O227=0,TEXT(INDEX('Notes and sources'!$C$6:$D$6,1,'Start here'!$C$11)*100,"0")&amp;"p",IF(N227=0,TEXT(INDEX('Notes and sources'!$C$7:$D$7,1,'Start here'!$C$11)*100,"0")&amp;"p",TEXT(INDEX('Notes and sources'!$C$6:$D$6,1,'Start here'!$C$11)*100,"0")&amp;"p/"&amp;TEXT(INDEX('Notes and sources'!$C$7:$D$7,1,'Start here'!$C$11)*100,"0")&amp;"p")),IF(H227="Motorcycle",TEXT(INDEX('Notes and sources'!$C$8:$D$8,1,'Start here'!$C$11)*100,"0")&amp;"p",IF(H227="Bicycle",TEXT(INDEX('Notes and sources'!$C$9:$D$9,1,'Start here'!$C$11)*100,"0")&amp;"p",""))))</f>
        <v/>
      </c>
      <c r="K227" s="26" t="str">
        <f aca="false">IF(F227="","",ROUND(IF(H227="Car or van",N227*INDEX('Notes and sources'!$C$6:$D$6,1,'Start here'!$C$11)+O227*INDEX('Notes and sources'!$C$7:$D$7,1,'Start here'!$C$11)+N(G227)*N(F227)*INDEX('Notes and sources'!$C$10:$D$10,1,'Start here'!$C$11),IF(H227="Motorcycle",N(F227)*INDEX('Notes and sources'!$C$8:$D$8,1,'Start here'!$C$11),IF(H227="Bicycle",N(F227)*INDEX('Notes and sources'!$C$9:$D$9,1,'Start here'!$C$11),0))),2))</f>
        <v/>
      </c>
      <c r="L227" s="27"/>
      <c r="N227" s="2" t="n">
        <f aca="false">IF(I227="",0,MAX(0,MIN(N(F227),INDEX('Notes and sources'!$C$12:$D$12,1,'Start here'!$C$11)-(I227-N(F227)))))</f>
        <v>0</v>
      </c>
      <c r="O227" s="2" t="n">
        <f aca="false">IF(I227="",0,N(F227)-N227)</f>
        <v>0</v>
      </c>
      <c r="P227" s="2" t="str">
        <f aca="false">IF(A227="","",IF(AND(MONTH(A227)=4,DAY(A227)&lt;6),13,MOD(MONTH(A227)-4,12)+1))</f>
        <v/>
      </c>
    </row>
    <row r="228" customFormat="false" ht="15" hidden="false" customHeight="false" outlineLevel="0" collapsed="false">
      <c r="A228" s="21"/>
      <c r="B228" s="6"/>
      <c r="C228" s="6"/>
      <c r="D228" s="6"/>
      <c r="E228" s="6"/>
      <c r="F228" s="22"/>
      <c r="G228" s="23"/>
      <c r="H228" s="24" t="str">
        <f aca="false">IF(B228="","",IFERROR(INDEX('Start here'!$C$16:$C$20,MATCH(B228,'Start here'!$B$16:$B$20,0)),"Check vehicle"))</f>
        <v/>
      </c>
      <c r="I228" s="25" t="str">
        <f aca="false">IF(OR(F228="",H228&lt;&gt;"Car or van"),"",SUMIFS($F$6:F228,$H$6:H228,"Car or van"))</f>
        <v/>
      </c>
      <c r="J228" s="24" t="str">
        <f aca="false">IF(F228="","",IF(H228="Car or van",IF(O228=0,TEXT(INDEX('Notes and sources'!$C$6:$D$6,1,'Start here'!$C$11)*100,"0")&amp;"p",IF(N228=0,TEXT(INDEX('Notes and sources'!$C$7:$D$7,1,'Start here'!$C$11)*100,"0")&amp;"p",TEXT(INDEX('Notes and sources'!$C$6:$D$6,1,'Start here'!$C$11)*100,"0")&amp;"p/"&amp;TEXT(INDEX('Notes and sources'!$C$7:$D$7,1,'Start here'!$C$11)*100,"0")&amp;"p")),IF(H228="Motorcycle",TEXT(INDEX('Notes and sources'!$C$8:$D$8,1,'Start here'!$C$11)*100,"0")&amp;"p",IF(H228="Bicycle",TEXT(INDEX('Notes and sources'!$C$9:$D$9,1,'Start here'!$C$11)*100,"0")&amp;"p",""))))</f>
        <v/>
      </c>
      <c r="K228" s="26" t="str">
        <f aca="false">IF(F228="","",ROUND(IF(H228="Car or van",N228*INDEX('Notes and sources'!$C$6:$D$6,1,'Start here'!$C$11)+O228*INDEX('Notes and sources'!$C$7:$D$7,1,'Start here'!$C$11)+N(G228)*N(F228)*INDEX('Notes and sources'!$C$10:$D$10,1,'Start here'!$C$11),IF(H228="Motorcycle",N(F228)*INDEX('Notes and sources'!$C$8:$D$8,1,'Start here'!$C$11),IF(H228="Bicycle",N(F228)*INDEX('Notes and sources'!$C$9:$D$9,1,'Start here'!$C$11),0))),2))</f>
        <v/>
      </c>
      <c r="L228" s="27"/>
      <c r="N228" s="2" t="n">
        <f aca="false">IF(I228="",0,MAX(0,MIN(N(F228),INDEX('Notes and sources'!$C$12:$D$12,1,'Start here'!$C$11)-(I228-N(F228)))))</f>
        <v>0</v>
      </c>
      <c r="O228" s="2" t="n">
        <f aca="false">IF(I228="",0,N(F228)-N228)</f>
        <v>0</v>
      </c>
      <c r="P228" s="2" t="str">
        <f aca="false">IF(A228="","",IF(AND(MONTH(A228)=4,DAY(A228)&lt;6),13,MOD(MONTH(A228)-4,12)+1))</f>
        <v/>
      </c>
    </row>
    <row r="229" customFormat="false" ht="15" hidden="false" customHeight="false" outlineLevel="0" collapsed="false">
      <c r="A229" s="21"/>
      <c r="B229" s="6"/>
      <c r="C229" s="6"/>
      <c r="D229" s="6"/>
      <c r="E229" s="6"/>
      <c r="F229" s="22"/>
      <c r="G229" s="23"/>
      <c r="H229" s="24" t="str">
        <f aca="false">IF(B229="","",IFERROR(INDEX('Start here'!$C$16:$C$20,MATCH(B229,'Start here'!$B$16:$B$20,0)),"Check vehicle"))</f>
        <v/>
      </c>
      <c r="I229" s="25" t="str">
        <f aca="false">IF(OR(F229="",H229&lt;&gt;"Car or van"),"",SUMIFS($F$6:F229,$H$6:H229,"Car or van"))</f>
        <v/>
      </c>
      <c r="J229" s="24" t="str">
        <f aca="false">IF(F229="","",IF(H229="Car or van",IF(O229=0,TEXT(INDEX('Notes and sources'!$C$6:$D$6,1,'Start here'!$C$11)*100,"0")&amp;"p",IF(N229=0,TEXT(INDEX('Notes and sources'!$C$7:$D$7,1,'Start here'!$C$11)*100,"0")&amp;"p",TEXT(INDEX('Notes and sources'!$C$6:$D$6,1,'Start here'!$C$11)*100,"0")&amp;"p/"&amp;TEXT(INDEX('Notes and sources'!$C$7:$D$7,1,'Start here'!$C$11)*100,"0")&amp;"p")),IF(H229="Motorcycle",TEXT(INDEX('Notes and sources'!$C$8:$D$8,1,'Start here'!$C$11)*100,"0")&amp;"p",IF(H229="Bicycle",TEXT(INDEX('Notes and sources'!$C$9:$D$9,1,'Start here'!$C$11)*100,"0")&amp;"p",""))))</f>
        <v/>
      </c>
      <c r="K229" s="26" t="str">
        <f aca="false">IF(F229="","",ROUND(IF(H229="Car or van",N229*INDEX('Notes and sources'!$C$6:$D$6,1,'Start here'!$C$11)+O229*INDEX('Notes and sources'!$C$7:$D$7,1,'Start here'!$C$11)+N(G229)*N(F229)*INDEX('Notes and sources'!$C$10:$D$10,1,'Start here'!$C$11),IF(H229="Motorcycle",N(F229)*INDEX('Notes and sources'!$C$8:$D$8,1,'Start here'!$C$11),IF(H229="Bicycle",N(F229)*INDEX('Notes and sources'!$C$9:$D$9,1,'Start here'!$C$11),0))),2))</f>
        <v/>
      </c>
      <c r="L229" s="27"/>
      <c r="N229" s="2" t="n">
        <f aca="false">IF(I229="",0,MAX(0,MIN(N(F229),INDEX('Notes and sources'!$C$12:$D$12,1,'Start here'!$C$11)-(I229-N(F229)))))</f>
        <v>0</v>
      </c>
      <c r="O229" s="2" t="n">
        <f aca="false">IF(I229="",0,N(F229)-N229)</f>
        <v>0</v>
      </c>
      <c r="P229" s="2" t="str">
        <f aca="false">IF(A229="","",IF(AND(MONTH(A229)=4,DAY(A229)&lt;6),13,MOD(MONTH(A229)-4,12)+1))</f>
        <v/>
      </c>
    </row>
    <row r="230" customFormat="false" ht="15" hidden="false" customHeight="false" outlineLevel="0" collapsed="false">
      <c r="A230" s="21"/>
      <c r="B230" s="6"/>
      <c r="C230" s="6"/>
      <c r="D230" s="6"/>
      <c r="E230" s="6"/>
      <c r="F230" s="22"/>
      <c r="G230" s="23"/>
      <c r="H230" s="24" t="str">
        <f aca="false">IF(B230="","",IFERROR(INDEX('Start here'!$C$16:$C$20,MATCH(B230,'Start here'!$B$16:$B$20,0)),"Check vehicle"))</f>
        <v/>
      </c>
      <c r="I230" s="25" t="str">
        <f aca="false">IF(OR(F230="",H230&lt;&gt;"Car or van"),"",SUMIFS($F$6:F230,$H$6:H230,"Car or van"))</f>
        <v/>
      </c>
      <c r="J230" s="24" t="str">
        <f aca="false">IF(F230="","",IF(H230="Car or van",IF(O230=0,TEXT(INDEX('Notes and sources'!$C$6:$D$6,1,'Start here'!$C$11)*100,"0")&amp;"p",IF(N230=0,TEXT(INDEX('Notes and sources'!$C$7:$D$7,1,'Start here'!$C$11)*100,"0")&amp;"p",TEXT(INDEX('Notes and sources'!$C$6:$D$6,1,'Start here'!$C$11)*100,"0")&amp;"p/"&amp;TEXT(INDEX('Notes and sources'!$C$7:$D$7,1,'Start here'!$C$11)*100,"0")&amp;"p")),IF(H230="Motorcycle",TEXT(INDEX('Notes and sources'!$C$8:$D$8,1,'Start here'!$C$11)*100,"0")&amp;"p",IF(H230="Bicycle",TEXT(INDEX('Notes and sources'!$C$9:$D$9,1,'Start here'!$C$11)*100,"0")&amp;"p",""))))</f>
        <v/>
      </c>
      <c r="K230" s="26" t="str">
        <f aca="false">IF(F230="","",ROUND(IF(H230="Car or van",N230*INDEX('Notes and sources'!$C$6:$D$6,1,'Start here'!$C$11)+O230*INDEX('Notes and sources'!$C$7:$D$7,1,'Start here'!$C$11)+N(G230)*N(F230)*INDEX('Notes and sources'!$C$10:$D$10,1,'Start here'!$C$11),IF(H230="Motorcycle",N(F230)*INDEX('Notes and sources'!$C$8:$D$8,1,'Start here'!$C$11),IF(H230="Bicycle",N(F230)*INDEX('Notes and sources'!$C$9:$D$9,1,'Start here'!$C$11),0))),2))</f>
        <v/>
      </c>
      <c r="L230" s="27"/>
      <c r="N230" s="2" t="n">
        <f aca="false">IF(I230="",0,MAX(0,MIN(N(F230),INDEX('Notes and sources'!$C$12:$D$12,1,'Start here'!$C$11)-(I230-N(F230)))))</f>
        <v>0</v>
      </c>
      <c r="O230" s="2" t="n">
        <f aca="false">IF(I230="",0,N(F230)-N230)</f>
        <v>0</v>
      </c>
      <c r="P230" s="2" t="str">
        <f aca="false">IF(A230="","",IF(AND(MONTH(A230)=4,DAY(A230)&lt;6),13,MOD(MONTH(A230)-4,12)+1))</f>
        <v/>
      </c>
    </row>
    <row r="231" customFormat="false" ht="15" hidden="false" customHeight="false" outlineLevel="0" collapsed="false">
      <c r="A231" s="21"/>
      <c r="B231" s="6"/>
      <c r="C231" s="6"/>
      <c r="D231" s="6"/>
      <c r="E231" s="6"/>
      <c r="F231" s="22"/>
      <c r="G231" s="23"/>
      <c r="H231" s="24" t="str">
        <f aca="false">IF(B231="","",IFERROR(INDEX('Start here'!$C$16:$C$20,MATCH(B231,'Start here'!$B$16:$B$20,0)),"Check vehicle"))</f>
        <v/>
      </c>
      <c r="I231" s="25" t="str">
        <f aca="false">IF(OR(F231="",H231&lt;&gt;"Car or van"),"",SUMIFS($F$6:F231,$H$6:H231,"Car or van"))</f>
        <v/>
      </c>
      <c r="J231" s="24" t="str">
        <f aca="false">IF(F231="","",IF(H231="Car or van",IF(O231=0,TEXT(INDEX('Notes and sources'!$C$6:$D$6,1,'Start here'!$C$11)*100,"0")&amp;"p",IF(N231=0,TEXT(INDEX('Notes and sources'!$C$7:$D$7,1,'Start here'!$C$11)*100,"0")&amp;"p",TEXT(INDEX('Notes and sources'!$C$6:$D$6,1,'Start here'!$C$11)*100,"0")&amp;"p/"&amp;TEXT(INDEX('Notes and sources'!$C$7:$D$7,1,'Start here'!$C$11)*100,"0")&amp;"p")),IF(H231="Motorcycle",TEXT(INDEX('Notes and sources'!$C$8:$D$8,1,'Start here'!$C$11)*100,"0")&amp;"p",IF(H231="Bicycle",TEXT(INDEX('Notes and sources'!$C$9:$D$9,1,'Start here'!$C$11)*100,"0")&amp;"p",""))))</f>
        <v/>
      </c>
      <c r="K231" s="26" t="str">
        <f aca="false">IF(F231="","",ROUND(IF(H231="Car or van",N231*INDEX('Notes and sources'!$C$6:$D$6,1,'Start here'!$C$11)+O231*INDEX('Notes and sources'!$C$7:$D$7,1,'Start here'!$C$11)+N(G231)*N(F231)*INDEX('Notes and sources'!$C$10:$D$10,1,'Start here'!$C$11),IF(H231="Motorcycle",N(F231)*INDEX('Notes and sources'!$C$8:$D$8,1,'Start here'!$C$11),IF(H231="Bicycle",N(F231)*INDEX('Notes and sources'!$C$9:$D$9,1,'Start here'!$C$11),0))),2))</f>
        <v/>
      </c>
      <c r="L231" s="27"/>
      <c r="N231" s="2" t="n">
        <f aca="false">IF(I231="",0,MAX(0,MIN(N(F231),INDEX('Notes and sources'!$C$12:$D$12,1,'Start here'!$C$11)-(I231-N(F231)))))</f>
        <v>0</v>
      </c>
      <c r="O231" s="2" t="n">
        <f aca="false">IF(I231="",0,N(F231)-N231)</f>
        <v>0</v>
      </c>
      <c r="P231" s="2" t="str">
        <f aca="false">IF(A231="","",IF(AND(MONTH(A231)=4,DAY(A231)&lt;6),13,MOD(MONTH(A231)-4,12)+1))</f>
        <v/>
      </c>
    </row>
    <row r="232" customFormat="false" ht="15" hidden="false" customHeight="false" outlineLevel="0" collapsed="false">
      <c r="A232" s="21"/>
      <c r="B232" s="6"/>
      <c r="C232" s="6"/>
      <c r="D232" s="6"/>
      <c r="E232" s="6"/>
      <c r="F232" s="22"/>
      <c r="G232" s="23"/>
      <c r="H232" s="24" t="str">
        <f aca="false">IF(B232="","",IFERROR(INDEX('Start here'!$C$16:$C$20,MATCH(B232,'Start here'!$B$16:$B$20,0)),"Check vehicle"))</f>
        <v/>
      </c>
      <c r="I232" s="25" t="str">
        <f aca="false">IF(OR(F232="",H232&lt;&gt;"Car or van"),"",SUMIFS($F$6:F232,$H$6:H232,"Car or van"))</f>
        <v/>
      </c>
      <c r="J232" s="24" t="str">
        <f aca="false">IF(F232="","",IF(H232="Car or van",IF(O232=0,TEXT(INDEX('Notes and sources'!$C$6:$D$6,1,'Start here'!$C$11)*100,"0")&amp;"p",IF(N232=0,TEXT(INDEX('Notes and sources'!$C$7:$D$7,1,'Start here'!$C$11)*100,"0")&amp;"p",TEXT(INDEX('Notes and sources'!$C$6:$D$6,1,'Start here'!$C$11)*100,"0")&amp;"p/"&amp;TEXT(INDEX('Notes and sources'!$C$7:$D$7,1,'Start here'!$C$11)*100,"0")&amp;"p")),IF(H232="Motorcycle",TEXT(INDEX('Notes and sources'!$C$8:$D$8,1,'Start here'!$C$11)*100,"0")&amp;"p",IF(H232="Bicycle",TEXT(INDEX('Notes and sources'!$C$9:$D$9,1,'Start here'!$C$11)*100,"0")&amp;"p",""))))</f>
        <v/>
      </c>
      <c r="K232" s="26" t="str">
        <f aca="false">IF(F232="","",ROUND(IF(H232="Car or van",N232*INDEX('Notes and sources'!$C$6:$D$6,1,'Start here'!$C$11)+O232*INDEX('Notes and sources'!$C$7:$D$7,1,'Start here'!$C$11)+N(G232)*N(F232)*INDEX('Notes and sources'!$C$10:$D$10,1,'Start here'!$C$11),IF(H232="Motorcycle",N(F232)*INDEX('Notes and sources'!$C$8:$D$8,1,'Start here'!$C$11),IF(H232="Bicycle",N(F232)*INDEX('Notes and sources'!$C$9:$D$9,1,'Start here'!$C$11),0))),2))</f>
        <v/>
      </c>
      <c r="L232" s="27"/>
      <c r="N232" s="2" t="n">
        <f aca="false">IF(I232="",0,MAX(0,MIN(N(F232),INDEX('Notes and sources'!$C$12:$D$12,1,'Start here'!$C$11)-(I232-N(F232)))))</f>
        <v>0</v>
      </c>
      <c r="O232" s="2" t="n">
        <f aca="false">IF(I232="",0,N(F232)-N232)</f>
        <v>0</v>
      </c>
      <c r="P232" s="2" t="str">
        <f aca="false">IF(A232="","",IF(AND(MONTH(A232)=4,DAY(A232)&lt;6),13,MOD(MONTH(A232)-4,12)+1))</f>
        <v/>
      </c>
    </row>
    <row r="233" customFormat="false" ht="15" hidden="false" customHeight="false" outlineLevel="0" collapsed="false">
      <c r="A233" s="21"/>
      <c r="B233" s="6"/>
      <c r="C233" s="6"/>
      <c r="D233" s="6"/>
      <c r="E233" s="6"/>
      <c r="F233" s="22"/>
      <c r="G233" s="23"/>
      <c r="H233" s="24" t="str">
        <f aca="false">IF(B233="","",IFERROR(INDEX('Start here'!$C$16:$C$20,MATCH(B233,'Start here'!$B$16:$B$20,0)),"Check vehicle"))</f>
        <v/>
      </c>
      <c r="I233" s="25" t="str">
        <f aca="false">IF(OR(F233="",H233&lt;&gt;"Car or van"),"",SUMIFS($F$6:F233,$H$6:H233,"Car or van"))</f>
        <v/>
      </c>
      <c r="J233" s="24" t="str">
        <f aca="false">IF(F233="","",IF(H233="Car or van",IF(O233=0,TEXT(INDEX('Notes and sources'!$C$6:$D$6,1,'Start here'!$C$11)*100,"0")&amp;"p",IF(N233=0,TEXT(INDEX('Notes and sources'!$C$7:$D$7,1,'Start here'!$C$11)*100,"0")&amp;"p",TEXT(INDEX('Notes and sources'!$C$6:$D$6,1,'Start here'!$C$11)*100,"0")&amp;"p/"&amp;TEXT(INDEX('Notes and sources'!$C$7:$D$7,1,'Start here'!$C$11)*100,"0")&amp;"p")),IF(H233="Motorcycle",TEXT(INDEX('Notes and sources'!$C$8:$D$8,1,'Start here'!$C$11)*100,"0")&amp;"p",IF(H233="Bicycle",TEXT(INDEX('Notes and sources'!$C$9:$D$9,1,'Start here'!$C$11)*100,"0")&amp;"p",""))))</f>
        <v/>
      </c>
      <c r="K233" s="26" t="str">
        <f aca="false">IF(F233="","",ROUND(IF(H233="Car or van",N233*INDEX('Notes and sources'!$C$6:$D$6,1,'Start here'!$C$11)+O233*INDEX('Notes and sources'!$C$7:$D$7,1,'Start here'!$C$11)+N(G233)*N(F233)*INDEX('Notes and sources'!$C$10:$D$10,1,'Start here'!$C$11),IF(H233="Motorcycle",N(F233)*INDEX('Notes and sources'!$C$8:$D$8,1,'Start here'!$C$11),IF(H233="Bicycle",N(F233)*INDEX('Notes and sources'!$C$9:$D$9,1,'Start here'!$C$11),0))),2))</f>
        <v/>
      </c>
      <c r="L233" s="27"/>
      <c r="N233" s="2" t="n">
        <f aca="false">IF(I233="",0,MAX(0,MIN(N(F233),INDEX('Notes and sources'!$C$12:$D$12,1,'Start here'!$C$11)-(I233-N(F233)))))</f>
        <v>0</v>
      </c>
      <c r="O233" s="2" t="n">
        <f aca="false">IF(I233="",0,N(F233)-N233)</f>
        <v>0</v>
      </c>
      <c r="P233" s="2" t="str">
        <f aca="false">IF(A233="","",IF(AND(MONTH(A233)=4,DAY(A233)&lt;6),13,MOD(MONTH(A233)-4,12)+1))</f>
        <v/>
      </c>
    </row>
    <row r="234" customFormat="false" ht="15" hidden="false" customHeight="false" outlineLevel="0" collapsed="false">
      <c r="A234" s="21"/>
      <c r="B234" s="6"/>
      <c r="C234" s="6"/>
      <c r="D234" s="6"/>
      <c r="E234" s="6"/>
      <c r="F234" s="22"/>
      <c r="G234" s="23"/>
      <c r="H234" s="24" t="str">
        <f aca="false">IF(B234="","",IFERROR(INDEX('Start here'!$C$16:$C$20,MATCH(B234,'Start here'!$B$16:$B$20,0)),"Check vehicle"))</f>
        <v/>
      </c>
      <c r="I234" s="25" t="str">
        <f aca="false">IF(OR(F234="",H234&lt;&gt;"Car or van"),"",SUMIFS($F$6:F234,$H$6:H234,"Car or van"))</f>
        <v/>
      </c>
      <c r="J234" s="24" t="str">
        <f aca="false">IF(F234="","",IF(H234="Car or van",IF(O234=0,TEXT(INDEX('Notes and sources'!$C$6:$D$6,1,'Start here'!$C$11)*100,"0")&amp;"p",IF(N234=0,TEXT(INDEX('Notes and sources'!$C$7:$D$7,1,'Start here'!$C$11)*100,"0")&amp;"p",TEXT(INDEX('Notes and sources'!$C$6:$D$6,1,'Start here'!$C$11)*100,"0")&amp;"p/"&amp;TEXT(INDEX('Notes and sources'!$C$7:$D$7,1,'Start here'!$C$11)*100,"0")&amp;"p")),IF(H234="Motorcycle",TEXT(INDEX('Notes and sources'!$C$8:$D$8,1,'Start here'!$C$11)*100,"0")&amp;"p",IF(H234="Bicycle",TEXT(INDEX('Notes and sources'!$C$9:$D$9,1,'Start here'!$C$11)*100,"0")&amp;"p",""))))</f>
        <v/>
      </c>
      <c r="K234" s="26" t="str">
        <f aca="false">IF(F234="","",ROUND(IF(H234="Car or van",N234*INDEX('Notes and sources'!$C$6:$D$6,1,'Start here'!$C$11)+O234*INDEX('Notes and sources'!$C$7:$D$7,1,'Start here'!$C$11)+N(G234)*N(F234)*INDEX('Notes and sources'!$C$10:$D$10,1,'Start here'!$C$11),IF(H234="Motorcycle",N(F234)*INDEX('Notes and sources'!$C$8:$D$8,1,'Start here'!$C$11),IF(H234="Bicycle",N(F234)*INDEX('Notes and sources'!$C$9:$D$9,1,'Start here'!$C$11),0))),2))</f>
        <v/>
      </c>
      <c r="L234" s="27"/>
      <c r="N234" s="2" t="n">
        <f aca="false">IF(I234="",0,MAX(0,MIN(N(F234),INDEX('Notes and sources'!$C$12:$D$12,1,'Start here'!$C$11)-(I234-N(F234)))))</f>
        <v>0</v>
      </c>
      <c r="O234" s="2" t="n">
        <f aca="false">IF(I234="",0,N(F234)-N234)</f>
        <v>0</v>
      </c>
      <c r="P234" s="2" t="str">
        <f aca="false">IF(A234="","",IF(AND(MONTH(A234)=4,DAY(A234)&lt;6),13,MOD(MONTH(A234)-4,12)+1))</f>
        <v/>
      </c>
    </row>
    <row r="235" customFormat="false" ht="15" hidden="false" customHeight="false" outlineLevel="0" collapsed="false">
      <c r="A235" s="21"/>
      <c r="B235" s="6"/>
      <c r="C235" s="6"/>
      <c r="D235" s="6"/>
      <c r="E235" s="6"/>
      <c r="F235" s="22"/>
      <c r="G235" s="23"/>
      <c r="H235" s="24" t="str">
        <f aca="false">IF(B235="","",IFERROR(INDEX('Start here'!$C$16:$C$20,MATCH(B235,'Start here'!$B$16:$B$20,0)),"Check vehicle"))</f>
        <v/>
      </c>
      <c r="I235" s="25" t="str">
        <f aca="false">IF(OR(F235="",H235&lt;&gt;"Car or van"),"",SUMIFS($F$6:F235,$H$6:H235,"Car or van"))</f>
        <v/>
      </c>
      <c r="J235" s="24" t="str">
        <f aca="false">IF(F235="","",IF(H235="Car or van",IF(O235=0,TEXT(INDEX('Notes and sources'!$C$6:$D$6,1,'Start here'!$C$11)*100,"0")&amp;"p",IF(N235=0,TEXT(INDEX('Notes and sources'!$C$7:$D$7,1,'Start here'!$C$11)*100,"0")&amp;"p",TEXT(INDEX('Notes and sources'!$C$6:$D$6,1,'Start here'!$C$11)*100,"0")&amp;"p/"&amp;TEXT(INDEX('Notes and sources'!$C$7:$D$7,1,'Start here'!$C$11)*100,"0")&amp;"p")),IF(H235="Motorcycle",TEXT(INDEX('Notes and sources'!$C$8:$D$8,1,'Start here'!$C$11)*100,"0")&amp;"p",IF(H235="Bicycle",TEXT(INDEX('Notes and sources'!$C$9:$D$9,1,'Start here'!$C$11)*100,"0")&amp;"p",""))))</f>
        <v/>
      </c>
      <c r="K235" s="26" t="str">
        <f aca="false">IF(F235="","",ROUND(IF(H235="Car or van",N235*INDEX('Notes and sources'!$C$6:$D$6,1,'Start here'!$C$11)+O235*INDEX('Notes and sources'!$C$7:$D$7,1,'Start here'!$C$11)+N(G235)*N(F235)*INDEX('Notes and sources'!$C$10:$D$10,1,'Start here'!$C$11),IF(H235="Motorcycle",N(F235)*INDEX('Notes and sources'!$C$8:$D$8,1,'Start here'!$C$11),IF(H235="Bicycle",N(F235)*INDEX('Notes and sources'!$C$9:$D$9,1,'Start here'!$C$11),0))),2))</f>
        <v/>
      </c>
      <c r="L235" s="27"/>
      <c r="N235" s="2" t="n">
        <f aca="false">IF(I235="",0,MAX(0,MIN(N(F235),INDEX('Notes and sources'!$C$12:$D$12,1,'Start here'!$C$11)-(I235-N(F235)))))</f>
        <v>0</v>
      </c>
      <c r="O235" s="2" t="n">
        <f aca="false">IF(I235="",0,N(F235)-N235)</f>
        <v>0</v>
      </c>
      <c r="P235" s="2" t="str">
        <f aca="false">IF(A235="","",IF(AND(MONTH(A235)=4,DAY(A235)&lt;6),13,MOD(MONTH(A235)-4,12)+1))</f>
        <v/>
      </c>
    </row>
    <row r="236" customFormat="false" ht="15" hidden="false" customHeight="false" outlineLevel="0" collapsed="false">
      <c r="A236" s="21"/>
      <c r="B236" s="6"/>
      <c r="C236" s="6"/>
      <c r="D236" s="6"/>
      <c r="E236" s="6"/>
      <c r="F236" s="22"/>
      <c r="G236" s="23"/>
      <c r="H236" s="24" t="str">
        <f aca="false">IF(B236="","",IFERROR(INDEX('Start here'!$C$16:$C$20,MATCH(B236,'Start here'!$B$16:$B$20,0)),"Check vehicle"))</f>
        <v/>
      </c>
      <c r="I236" s="25" t="str">
        <f aca="false">IF(OR(F236="",H236&lt;&gt;"Car or van"),"",SUMIFS($F$6:F236,$H$6:H236,"Car or van"))</f>
        <v/>
      </c>
      <c r="J236" s="24" t="str">
        <f aca="false">IF(F236="","",IF(H236="Car or van",IF(O236=0,TEXT(INDEX('Notes and sources'!$C$6:$D$6,1,'Start here'!$C$11)*100,"0")&amp;"p",IF(N236=0,TEXT(INDEX('Notes and sources'!$C$7:$D$7,1,'Start here'!$C$11)*100,"0")&amp;"p",TEXT(INDEX('Notes and sources'!$C$6:$D$6,1,'Start here'!$C$11)*100,"0")&amp;"p/"&amp;TEXT(INDEX('Notes and sources'!$C$7:$D$7,1,'Start here'!$C$11)*100,"0")&amp;"p")),IF(H236="Motorcycle",TEXT(INDEX('Notes and sources'!$C$8:$D$8,1,'Start here'!$C$11)*100,"0")&amp;"p",IF(H236="Bicycle",TEXT(INDEX('Notes and sources'!$C$9:$D$9,1,'Start here'!$C$11)*100,"0")&amp;"p",""))))</f>
        <v/>
      </c>
      <c r="K236" s="26" t="str">
        <f aca="false">IF(F236="","",ROUND(IF(H236="Car or van",N236*INDEX('Notes and sources'!$C$6:$D$6,1,'Start here'!$C$11)+O236*INDEX('Notes and sources'!$C$7:$D$7,1,'Start here'!$C$11)+N(G236)*N(F236)*INDEX('Notes and sources'!$C$10:$D$10,1,'Start here'!$C$11),IF(H236="Motorcycle",N(F236)*INDEX('Notes and sources'!$C$8:$D$8,1,'Start here'!$C$11),IF(H236="Bicycle",N(F236)*INDEX('Notes and sources'!$C$9:$D$9,1,'Start here'!$C$11),0))),2))</f>
        <v/>
      </c>
      <c r="L236" s="27"/>
      <c r="N236" s="2" t="n">
        <f aca="false">IF(I236="",0,MAX(0,MIN(N(F236),INDEX('Notes and sources'!$C$12:$D$12,1,'Start here'!$C$11)-(I236-N(F236)))))</f>
        <v>0</v>
      </c>
      <c r="O236" s="2" t="n">
        <f aca="false">IF(I236="",0,N(F236)-N236)</f>
        <v>0</v>
      </c>
      <c r="P236" s="2" t="str">
        <f aca="false">IF(A236="","",IF(AND(MONTH(A236)=4,DAY(A236)&lt;6),13,MOD(MONTH(A236)-4,12)+1))</f>
        <v/>
      </c>
    </row>
    <row r="237" customFormat="false" ht="15" hidden="false" customHeight="false" outlineLevel="0" collapsed="false">
      <c r="A237" s="21"/>
      <c r="B237" s="6"/>
      <c r="C237" s="6"/>
      <c r="D237" s="6"/>
      <c r="E237" s="6"/>
      <c r="F237" s="22"/>
      <c r="G237" s="23"/>
      <c r="H237" s="24" t="str">
        <f aca="false">IF(B237="","",IFERROR(INDEX('Start here'!$C$16:$C$20,MATCH(B237,'Start here'!$B$16:$B$20,0)),"Check vehicle"))</f>
        <v/>
      </c>
      <c r="I237" s="25" t="str">
        <f aca="false">IF(OR(F237="",H237&lt;&gt;"Car or van"),"",SUMIFS($F$6:F237,$H$6:H237,"Car or van"))</f>
        <v/>
      </c>
      <c r="J237" s="24" t="str">
        <f aca="false">IF(F237="","",IF(H237="Car or van",IF(O237=0,TEXT(INDEX('Notes and sources'!$C$6:$D$6,1,'Start here'!$C$11)*100,"0")&amp;"p",IF(N237=0,TEXT(INDEX('Notes and sources'!$C$7:$D$7,1,'Start here'!$C$11)*100,"0")&amp;"p",TEXT(INDEX('Notes and sources'!$C$6:$D$6,1,'Start here'!$C$11)*100,"0")&amp;"p/"&amp;TEXT(INDEX('Notes and sources'!$C$7:$D$7,1,'Start here'!$C$11)*100,"0")&amp;"p")),IF(H237="Motorcycle",TEXT(INDEX('Notes and sources'!$C$8:$D$8,1,'Start here'!$C$11)*100,"0")&amp;"p",IF(H237="Bicycle",TEXT(INDEX('Notes and sources'!$C$9:$D$9,1,'Start here'!$C$11)*100,"0")&amp;"p",""))))</f>
        <v/>
      </c>
      <c r="K237" s="26" t="str">
        <f aca="false">IF(F237="","",ROUND(IF(H237="Car or van",N237*INDEX('Notes and sources'!$C$6:$D$6,1,'Start here'!$C$11)+O237*INDEX('Notes and sources'!$C$7:$D$7,1,'Start here'!$C$11)+N(G237)*N(F237)*INDEX('Notes and sources'!$C$10:$D$10,1,'Start here'!$C$11),IF(H237="Motorcycle",N(F237)*INDEX('Notes and sources'!$C$8:$D$8,1,'Start here'!$C$11),IF(H237="Bicycle",N(F237)*INDEX('Notes and sources'!$C$9:$D$9,1,'Start here'!$C$11),0))),2))</f>
        <v/>
      </c>
      <c r="L237" s="27"/>
      <c r="N237" s="2" t="n">
        <f aca="false">IF(I237="",0,MAX(0,MIN(N(F237),INDEX('Notes and sources'!$C$12:$D$12,1,'Start here'!$C$11)-(I237-N(F237)))))</f>
        <v>0</v>
      </c>
      <c r="O237" s="2" t="n">
        <f aca="false">IF(I237="",0,N(F237)-N237)</f>
        <v>0</v>
      </c>
      <c r="P237" s="2" t="str">
        <f aca="false">IF(A237="","",IF(AND(MONTH(A237)=4,DAY(A237)&lt;6),13,MOD(MONTH(A237)-4,12)+1))</f>
        <v/>
      </c>
    </row>
    <row r="238" customFormat="false" ht="15" hidden="false" customHeight="false" outlineLevel="0" collapsed="false">
      <c r="A238" s="21"/>
      <c r="B238" s="6"/>
      <c r="C238" s="6"/>
      <c r="D238" s="6"/>
      <c r="E238" s="6"/>
      <c r="F238" s="22"/>
      <c r="G238" s="23"/>
      <c r="H238" s="24" t="str">
        <f aca="false">IF(B238="","",IFERROR(INDEX('Start here'!$C$16:$C$20,MATCH(B238,'Start here'!$B$16:$B$20,0)),"Check vehicle"))</f>
        <v/>
      </c>
      <c r="I238" s="25" t="str">
        <f aca="false">IF(OR(F238="",H238&lt;&gt;"Car or van"),"",SUMIFS($F$6:F238,$H$6:H238,"Car or van"))</f>
        <v/>
      </c>
      <c r="J238" s="24" t="str">
        <f aca="false">IF(F238="","",IF(H238="Car or van",IF(O238=0,TEXT(INDEX('Notes and sources'!$C$6:$D$6,1,'Start here'!$C$11)*100,"0")&amp;"p",IF(N238=0,TEXT(INDEX('Notes and sources'!$C$7:$D$7,1,'Start here'!$C$11)*100,"0")&amp;"p",TEXT(INDEX('Notes and sources'!$C$6:$D$6,1,'Start here'!$C$11)*100,"0")&amp;"p/"&amp;TEXT(INDEX('Notes and sources'!$C$7:$D$7,1,'Start here'!$C$11)*100,"0")&amp;"p")),IF(H238="Motorcycle",TEXT(INDEX('Notes and sources'!$C$8:$D$8,1,'Start here'!$C$11)*100,"0")&amp;"p",IF(H238="Bicycle",TEXT(INDEX('Notes and sources'!$C$9:$D$9,1,'Start here'!$C$11)*100,"0")&amp;"p",""))))</f>
        <v/>
      </c>
      <c r="K238" s="26" t="str">
        <f aca="false">IF(F238="","",ROUND(IF(H238="Car or van",N238*INDEX('Notes and sources'!$C$6:$D$6,1,'Start here'!$C$11)+O238*INDEX('Notes and sources'!$C$7:$D$7,1,'Start here'!$C$11)+N(G238)*N(F238)*INDEX('Notes and sources'!$C$10:$D$10,1,'Start here'!$C$11),IF(H238="Motorcycle",N(F238)*INDEX('Notes and sources'!$C$8:$D$8,1,'Start here'!$C$11),IF(H238="Bicycle",N(F238)*INDEX('Notes and sources'!$C$9:$D$9,1,'Start here'!$C$11),0))),2))</f>
        <v/>
      </c>
      <c r="L238" s="27"/>
      <c r="N238" s="2" t="n">
        <f aca="false">IF(I238="",0,MAX(0,MIN(N(F238),INDEX('Notes and sources'!$C$12:$D$12,1,'Start here'!$C$11)-(I238-N(F238)))))</f>
        <v>0</v>
      </c>
      <c r="O238" s="2" t="n">
        <f aca="false">IF(I238="",0,N(F238)-N238)</f>
        <v>0</v>
      </c>
      <c r="P238" s="2" t="str">
        <f aca="false">IF(A238="","",IF(AND(MONTH(A238)=4,DAY(A238)&lt;6),13,MOD(MONTH(A238)-4,12)+1))</f>
        <v/>
      </c>
    </row>
    <row r="239" customFormat="false" ht="15" hidden="false" customHeight="false" outlineLevel="0" collapsed="false">
      <c r="A239" s="21"/>
      <c r="B239" s="6"/>
      <c r="C239" s="6"/>
      <c r="D239" s="6"/>
      <c r="E239" s="6"/>
      <c r="F239" s="22"/>
      <c r="G239" s="23"/>
      <c r="H239" s="24" t="str">
        <f aca="false">IF(B239="","",IFERROR(INDEX('Start here'!$C$16:$C$20,MATCH(B239,'Start here'!$B$16:$B$20,0)),"Check vehicle"))</f>
        <v/>
      </c>
      <c r="I239" s="25" t="str">
        <f aca="false">IF(OR(F239="",H239&lt;&gt;"Car or van"),"",SUMIFS($F$6:F239,$H$6:H239,"Car or van"))</f>
        <v/>
      </c>
      <c r="J239" s="24" t="str">
        <f aca="false">IF(F239="","",IF(H239="Car or van",IF(O239=0,TEXT(INDEX('Notes and sources'!$C$6:$D$6,1,'Start here'!$C$11)*100,"0")&amp;"p",IF(N239=0,TEXT(INDEX('Notes and sources'!$C$7:$D$7,1,'Start here'!$C$11)*100,"0")&amp;"p",TEXT(INDEX('Notes and sources'!$C$6:$D$6,1,'Start here'!$C$11)*100,"0")&amp;"p/"&amp;TEXT(INDEX('Notes and sources'!$C$7:$D$7,1,'Start here'!$C$11)*100,"0")&amp;"p")),IF(H239="Motorcycle",TEXT(INDEX('Notes and sources'!$C$8:$D$8,1,'Start here'!$C$11)*100,"0")&amp;"p",IF(H239="Bicycle",TEXT(INDEX('Notes and sources'!$C$9:$D$9,1,'Start here'!$C$11)*100,"0")&amp;"p",""))))</f>
        <v/>
      </c>
      <c r="K239" s="26" t="str">
        <f aca="false">IF(F239="","",ROUND(IF(H239="Car or van",N239*INDEX('Notes and sources'!$C$6:$D$6,1,'Start here'!$C$11)+O239*INDEX('Notes and sources'!$C$7:$D$7,1,'Start here'!$C$11)+N(G239)*N(F239)*INDEX('Notes and sources'!$C$10:$D$10,1,'Start here'!$C$11),IF(H239="Motorcycle",N(F239)*INDEX('Notes and sources'!$C$8:$D$8,1,'Start here'!$C$11),IF(H239="Bicycle",N(F239)*INDEX('Notes and sources'!$C$9:$D$9,1,'Start here'!$C$11),0))),2))</f>
        <v/>
      </c>
      <c r="L239" s="27"/>
      <c r="N239" s="2" t="n">
        <f aca="false">IF(I239="",0,MAX(0,MIN(N(F239),INDEX('Notes and sources'!$C$12:$D$12,1,'Start here'!$C$11)-(I239-N(F239)))))</f>
        <v>0</v>
      </c>
      <c r="O239" s="2" t="n">
        <f aca="false">IF(I239="",0,N(F239)-N239)</f>
        <v>0</v>
      </c>
      <c r="P239" s="2" t="str">
        <f aca="false">IF(A239="","",IF(AND(MONTH(A239)=4,DAY(A239)&lt;6),13,MOD(MONTH(A239)-4,12)+1))</f>
        <v/>
      </c>
    </row>
    <row r="240" customFormat="false" ht="15" hidden="false" customHeight="false" outlineLevel="0" collapsed="false">
      <c r="A240" s="21"/>
      <c r="B240" s="6"/>
      <c r="C240" s="6"/>
      <c r="D240" s="6"/>
      <c r="E240" s="6"/>
      <c r="F240" s="22"/>
      <c r="G240" s="23"/>
      <c r="H240" s="24" t="str">
        <f aca="false">IF(B240="","",IFERROR(INDEX('Start here'!$C$16:$C$20,MATCH(B240,'Start here'!$B$16:$B$20,0)),"Check vehicle"))</f>
        <v/>
      </c>
      <c r="I240" s="25" t="str">
        <f aca="false">IF(OR(F240="",H240&lt;&gt;"Car or van"),"",SUMIFS($F$6:F240,$H$6:H240,"Car or van"))</f>
        <v/>
      </c>
      <c r="J240" s="24" t="str">
        <f aca="false">IF(F240="","",IF(H240="Car or van",IF(O240=0,TEXT(INDEX('Notes and sources'!$C$6:$D$6,1,'Start here'!$C$11)*100,"0")&amp;"p",IF(N240=0,TEXT(INDEX('Notes and sources'!$C$7:$D$7,1,'Start here'!$C$11)*100,"0")&amp;"p",TEXT(INDEX('Notes and sources'!$C$6:$D$6,1,'Start here'!$C$11)*100,"0")&amp;"p/"&amp;TEXT(INDEX('Notes and sources'!$C$7:$D$7,1,'Start here'!$C$11)*100,"0")&amp;"p")),IF(H240="Motorcycle",TEXT(INDEX('Notes and sources'!$C$8:$D$8,1,'Start here'!$C$11)*100,"0")&amp;"p",IF(H240="Bicycle",TEXT(INDEX('Notes and sources'!$C$9:$D$9,1,'Start here'!$C$11)*100,"0")&amp;"p",""))))</f>
        <v/>
      </c>
      <c r="K240" s="26" t="str">
        <f aca="false">IF(F240="","",ROUND(IF(H240="Car or van",N240*INDEX('Notes and sources'!$C$6:$D$6,1,'Start here'!$C$11)+O240*INDEX('Notes and sources'!$C$7:$D$7,1,'Start here'!$C$11)+N(G240)*N(F240)*INDEX('Notes and sources'!$C$10:$D$10,1,'Start here'!$C$11),IF(H240="Motorcycle",N(F240)*INDEX('Notes and sources'!$C$8:$D$8,1,'Start here'!$C$11),IF(H240="Bicycle",N(F240)*INDEX('Notes and sources'!$C$9:$D$9,1,'Start here'!$C$11),0))),2))</f>
        <v/>
      </c>
      <c r="L240" s="27"/>
      <c r="N240" s="2" t="n">
        <f aca="false">IF(I240="",0,MAX(0,MIN(N(F240),INDEX('Notes and sources'!$C$12:$D$12,1,'Start here'!$C$11)-(I240-N(F240)))))</f>
        <v>0</v>
      </c>
      <c r="O240" s="2" t="n">
        <f aca="false">IF(I240="",0,N(F240)-N240)</f>
        <v>0</v>
      </c>
      <c r="P240" s="2" t="str">
        <f aca="false">IF(A240="","",IF(AND(MONTH(A240)=4,DAY(A240)&lt;6),13,MOD(MONTH(A240)-4,12)+1))</f>
        <v/>
      </c>
    </row>
    <row r="241" customFormat="false" ht="15" hidden="false" customHeight="false" outlineLevel="0" collapsed="false">
      <c r="A241" s="21"/>
      <c r="B241" s="6"/>
      <c r="C241" s="6"/>
      <c r="D241" s="6"/>
      <c r="E241" s="6"/>
      <c r="F241" s="22"/>
      <c r="G241" s="23"/>
      <c r="H241" s="24" t="str">
        <f aca="false">IF(B241="","",IFERROR(INDEX('Start here'!$C$16:$C$20,MATCH(B241,'Start here'!$B$16:$B$20,0)),"Check vehicle"))</f>
        <v/>
      </c>
      <c r="I241" s="25" t="str">
        <f aca="false">IF(OR(F241="",H241&lt;&gt;"Car or van"),"",SUMIFS($F$6:F241,$H$6:H241,"Car or van"))</f>
        <v/>
      </c>
      <c r="J241" s="24" t="str">
        <f aca="false">IF(F241="","",IF(H241="Car or van",IF(O241=0,TEXT(INDEX('Notes and sources'!$C$6:$D$6,1,'Start here'!$C$11)*100,"0")&amp;"p",IF(N241=0,TEXT(INDEX('Notes and sources'!$C$7:$D$7,1,'Start here'!$C$11)*100,"0")&amp;"p",TEXT(INDEX('Notes and sources'!$C$6:$D$6,1,'Start here'!$C$11)*100,"0")&amp;"p/"&amp;TEXT(INDEX('Notes and sources'!$C$7:$D$7,1,'Start here'!$C$11)*100,"0")&amp;"p")),IF(H241="Motorcycle",TEXT(INDEX('Notes and sources'!$C$8:$D$8,1,'Start here'!$C$11)*100,"0")&amp;"p",IF(H241="Bicycle",TEXT(INDEX('Notes and sources'!$C$9:$D$9,1,'Start here'!$C$11)*100,"0")&amp;"p",""))))</f>
        <v/>
      </c>
      <c r="K241" s="26" t="str">
        <f aca="false">IF(F241="","",ROUND(IF(H241="Car or van",N241*INDEX('Notes and sources'!$C$6:$D$6,1,'Start here'!$C$11)+O241*INDEX('Notes and sources'!$C$7:$D$7,1,'Start here'!$C$11)+N(G241)*N(F241)*INDEX('Notes and sources'!$C$10:$D$10,1,'Start here'!$C$11),IF(H241="Motorcycle",N(F241)*INDEX('Notes and sources'!$C$8:$D$8,1,'Start here'!$C$11),IF(H241="Bicycle",N(F241)*INDEX('Notes and sources'!$C$9:$D$9,1,'Start here'!$C$11),0))),2))</f>
        <v/>
      </c>
      <c r="L241" s="27"/>
      <c r="N241" s="2" t="n">
        <f aca="false">IF(I241="",0,MAX(0,MIN(N(F241),INDEX('Notes and sources'!$C$12:$D$12,1,'Start here'!$C$11)-(I241-N(F241)))))</f>
        <v>0</v>
      </c>
      <c r="O241" s="2" t="n">
        <f aca="false">IF(I241="",0,N(F241)-N241)</f>
        <v>0</v>
      </c>
      <c r="P241" s="2" t="str">
        <f aca="false">IF(A241="","",IF(AND(MONTH(A241)=4,DAY(A241)&lt;6),13,MOD(MONTH(A241)-4,12)+1))</f>
        <v/>
      </c>
    </row>
    <row r="242" customFormat="false" ht="15" hidden="false" customHeight="false" outlineLevel="0" collapsed="false">
      <c r="A242" s="21"/>
      <c r="B242" s="6"/>
      <c r="C242" s="6"/>
      <c r="D242" s="6"/>
      <c r="E242" s="6"/>
      <c r="F242" s="22"/>
      <c r="G242" s="23"/>
      <c r="H242" s="24" t="str">
        <f aca="false">IF(B242="","",IFERROR(INDEX('Start here'!$C$16:$C$20,MATCH(B242,'Start here'!$B$16:$B$20,0)),"Check vehicle"))</f>
        <v/>
      </c>
      <c r="I242" s="25" t="str">
        <f aca="false">IF(OR(F242="",H242&lt;&gt;"Car or van"),"",SUMIFS($F$6:F242,$H$6:H242,"Car or van"))</f>
        <v/>
      </c>
      <c r="J242" s="24" t="str">
        <f aca="false">IF(F242="","",IF(H242="Car or van",IF(O242=0,TEXT(INDEX('Notes and sources'!$C$6:$D$6,1,'Start here'!$C$11)*100,"0")&amp;"p",IF(N242=0,TEXT(INDEX('Notes and sources'!$C$7:$D$7,1,'Start here'!$C$11)*100,"0")&amp;"p",TEXT(INDEX('Notes and sources'!$C$6:$D$6,1,'Start here'!$C$11)*100,"0")&amp;"p/"&amp;TEXT(INDEX('Notes and sources'!$C$7:$D$7,1,'Start here'!$C$11)*100,"0")&amp;"p")),IF(H242="Motorcycle",TEXT(INDEX('Notes and sources'!$C$8:$D$8,1,'Start here'!$C$11)*100,"0")&amp;"p",IF(H242="Bicycle",TEXT(INDEX('Notes and sources'!$C$9:$D$9,1,'Start here'!$C$11)*100,"0")&amp;"p",""))))</f>
        <v/>
      </c>
      <c r="K242" s="26" t="str">
        <f aca="false">IF(F242="","",ROUND(IF(H242="Car or van",N242*INDEX('Notes and sources'!$C$6:$D$6,1,'Start here'!$C$11)+O242*INDEX('Notes and sources'!$C$7:$D$7,1,'Start here'!$C$11)+N(G242)*N(F242)*INDEX('Notes and sources'!$C$10:$D$10,1,'Start here'!$C$11),IF(H242="Motorcycle",N(F242)*INDEX('Notes and sources'!$C$8:$D$8,1,'Start here'!$C$11),IF(H242="Bicycle",N(F242)*INDEX('Notes and sources'!$C$9:$D$9,1,'Start here'!$C$11),0))),2))</f>
        <v/>
      </c>
      <c r="L242" s="27"/>
      <c r="N242" s="2" t="n">
        <f aca="false">IF(I242="",0,MAX(0,MIN(N(F242),INDEX('Notes and sources'!$C$12:$D$12,1,'Start here'!$C$11)-(I242-N(F242)))))</f>
        <v>0</v>
      </c>
      <c r="O242" s="2" t="n">
        <f aca="false">IF(I242="",0,N(F242)-N242)</f>
        <v>0</v>
      </c>
      <c r="P242" s="2" t="str">
        <f aca="false">IF(A242="","",IF(AND(MONTH(A242)=4,DAY(A242)&lt;6),13,MOD(MONTH(A242)-4,12)+1))</f>
        <v/>
      </c>
    </row>
    <row r="243" customFormat="false" ht="15" hidden="false" customHeight="false" outlineLevel="0" collapsed="false">
      <c r="A243" s="21"/>
      <c r="B243" s="6"/>
      <c r="C243" s="6"/>
      <c r="D243" s="6"/>
      <c r="E243" s="6"/>
      <c r="F243" s="22"/>
      <c r="G243" s="23"/>
      <c r="H243" s="24" t="str">
        <f aca="false">IF(B243="","",IFERROR(INDEX('Start here'!$C$16:$C$20,MATCH(B243,'Start here'!$B$16:$B$20,0)),"Check vehicle"))</f>
        <v/>
      </c>
      <c r="I243" s="25" t="str">
        <f aca="false">IF(OR(F243="",H243&lt;&gt;"Car or van"),"",SUMIFS($F$6:F243,$H$6:H243,"Car or van"))</f>
        <v/>
      </c>
      <c r="J243" s="24" t="str">
        <f aca="false">IF(F243="","",IF(H243="Car or van",IF(O243=0,TEXT(INDEX('Notes and sources'!$C$6:$D$6,1,'Start here'!$C$11)*100,"0")&amp;"p",IF(N243=0,TEXT(INDEX('Notes and sources'!$C$7:$D$7,1,'Start here'!$C$11)*100,"0")&amp;"p",TEXT(INDEX('Notes and sources'!$C$6:$D$6,1,'Start here'!$C$11)*100,"0")&amp;"p/"&amp;TEXT(INDEX('Notes and sources'!$C$7:$D$7,1,'Start here'!$C$11)*100,"0")&amp;"p")),IF(H243="Motorcycle",TEXT(INDEX('Notes and sources'!$C$8:$D$8,1,'Start here'!$C$11)*100,"0")&amp;"p",IF(H243="Bicycle",TEXT(INDEX('Notes and sources'!$C$9:$D$9,1,'Start here'!$C$11)*100,"0")&amp;"p",""))))</f>
        <v/>
      </c>
      <c r="K243" s="26" t="str">
        <f aca="false">IF(F243="","",ROUND(IF(H243="Car or van",N243*INDEX('Notes and sources'!$C$6:$D$6,1,'Start here'!$C$11)+O243*INDEX('Notes and sources'!$C$7:$D$7,1,'Start here'!$C$11)+N(G243)*N(F243)*INDEX('Notes and sources'!$C$10:$D$10,1,'Start here'!$C$11),IF(H243="Motorcycle",N(F243)*INDEX('Notes and sources'!$C$8:$D$8,1,'Start here'!$C$11),IF(H243="Bicycle",N(F243)*INDEX('Notes and sources'!$C$9:$D$9,1,'Start here'!$C$11),0))),2))</f>
        <v/>
      </c>
      <c r="L243" s="27"/>
      <c r="N243" s="2" t="n">
        <f aca="false">IF(I243="",0,MAX(0,MIN(N(F243),INDEX('Notes and sources'!$C$12:$D$12,1,'Start here'!$C$11)-(I243-N(F243)))))</f>
        <v>0</v>
      </c>
      <c r="O243" s="2" t="n">
        <f aca="false">IF(I243="",0,N(F243)-N243)</f>
        <v>0</v>
      </c>
      <c r="P243" s="2" t="str">
        <f aca="false">IF(A243="","",IF(AND(MONTH(A243)=4,DAY(A243)&lt;6),13,MOD(MONTH(A243)-4,12)+1))</f>
        <v/>
      </c>
    </row>
    <row r="244" customFormat="false" ht="15" hidden="false" customHeight="false" outlineLevel="0" collapsed="false">
      <c r="A244" s="21"/>
      <c r="B244" s="6"/>
      <c r="C244" s="6"/>
      <c r="D244" s="6"/>
      <c r="E244" s="6"/>
      <c r="F244" s="22"/>
      <c r="G244" s="23"/>
      <c r="H244" s="24" t="str">
        <f aca="false">IF(B244="","",IFERROR(INDEX('Start here'!$C$16:$C$20,MATCH(B244,'Start here'!$B$16:$B$20,0)),"Check vehicle"))</f>
        <v/>
      </c>
      <c r="I244" s="25" t="str">
        <f aca="false">IF(OR(F244="",H244&lt;&gt;"Car or van"),"",SUMIFS($F$6:F244,$H$6:H244,"Car or van"))</f>
        <v/>
      </c>
      <c r="J244" s="24" t="str">
        <f aca="false">IF(F244="","",IF(H244="Car or van",IF(O244=0,TEXT(INDEX('Notes and sources'!$C$6:$D$6,1,'Start here'!$C$11)*100,"0")&amp;"p",IF(N244=0,TEXT(INDEX('Notes and sources'!$C$7:$D$7,1,'Start here'!$C$11)*100,"0")&amp;"p",TEXT(INDEX('Notes and sources'!$C$6:$D$6,1,'Start here'!$C$11)*100,"0")&amp;"p/"&amp;TEXT(INDEX('Notes and sources'!$C$7:$D$7,1,'Start here'!$C$11)*100,"0")&amp;"p")),IF(H244="Motorcycle",TEXT(INDEX('Notes and sources'!$C$8:$D$8,1,'Start here'!$C$11)*100,"0")&amp;"p",IF(H244="Bicycle",TEXT(INDEX('Notes and sources'!$C$9:$D$9,1,'Start here'!$C$11)*100,"0")&amp;"p",""))))</f>
        <v/>
      </c>
      <c r="K244" s="26" t="str">
        <f aca="false">IF(F244="","",ROUND(IF(H244="Car or van",N244*INDEX('Notes and sources'!$C$6:$D$6,1,'Start here'!$C$11)+O244*INDEX('Notes and sources'!$C$7:$D$7,1,'Start here'!$C$11)+N(G244)*N(F244)*INDEX('Notes and sources'!$C$10:$D$10,1,'Start here'!$C$11),IF(H244="Motorcycle",N(F244)*INDEX('Notes and sources'!$C$8:$D$8,1,'Start here'!$C$11),IF(H244="Bicycle",N(F244)*INDEX('Notes and sources'!$C$9:$D$9,1,'Start here'!$C$11),0))),2))</f>
        <v/>
      </c>
      <c r="L244" s="27"/>
      <c r="N244" s="2" t="n">
        <f aca="false">IF(I244="",0,MAX(0,MIN(N(F244),INDEX('Notes and sources'!$C$12:$D$12,1,'Start here'!$C$11)-(I244-N(F244)))))</f>
        <v>0</v>
      </c>
      <c r="O244" s="2" t="n">
        <f aca="false">IF(I244="",0,N(F244)-N244)</f>
        <v>0</v>
      </c>
      <c r="P244" s="2" t="str">
        <f aca="false">IF(A244="","",IF(AND(MONTH(A244)=4,DAY(A244)&lt;6),13,MOD(MONTH(A244)-4,12)+1))</f>
        <v/>
      </c>
    </row>
    <row r="245" customFormat="false" ht="15" hidden="false" customHeight="false" outlineLevel="0" collapsed="false">
      <c r="A245" s="21"/>
      <c r="B245" s="6"/>
      <c r="C245" s="6"/>
      <c r="D245" s="6"/>
      <c r="E245" s="6"/>
      <c r="F245" s="22"/>
      <c r="G245" s="23"/>
      <c r="H245" s="24" t="str">
        <f aca="false">IF(B245="","",IFERROR(INDEX('Start here'!$C$16:$C$20,MATCH(B245,'Start here'!$B$16:$B$20,0)),"Check vehicle"))</f>
        <v/>
      </c>
      <c r="I245" s="25" t="str">
        <f aca="false">IF(OR(F245="",H245&lt;&gt;"Car or van"),"",SUMIFS($F$6:F245,$H$6:H245,"Car or van"))</f>
        <v/>
      </c>
      <c r="J245" s="24" t="str">
        <f aca="false">IF(F245="","",IF(H245="Car or van",IF(O245=0,TEXT(INDEX('Notes and sources'!$C$6:$D$6,1,'Start here'!$C$11)*100,"0")&amp;"p",IF(N245=0,TEXT(INDEX('Notes and sources'!$C$7:$D$7,1,'Start here'!$C$11)*100,"0")&amp;"p",TEXT(INDEX('Notes and sources'!$C$6:$D$6,1,'Start here'!$C$11)*100,"0")&amp;"p/"&amp;TEXT(INDEX('Notes and sources'!$C$7:$D$7,1,'Start here'!$C$11)*100,"0")&amp;"p")),IF(H245="Motorcycle",TEXT(INDEX('Notes and sources'!$C$8:$D$8,1,'Start here'!$C$11)*100,"0")&amp;"p",IF(H245="Bicycle",TEXT(INDEX('Notes and sources'!$C$9:$D$9,1,'Start here'!$C$11)*100,"0")&amp;"p",""))))</f>
        <v/>
      </c>
      <c r="K245" s="26" t="str">
        <f aca="false">IF(F245="","",ROUND(IF(H245="Car or van",N245*INDEX('Notes and sources'!$C$6:$D$6,1,'Start here'!$C$11)+O245*INDEX('Notes and sources'!$C$7:$D$7,1,'Start here'!$C$11)+N(G245)*N(F245)*INDEX('Notes and sources'!$C$10:$D$10,1,'Start here'!$C$11),IF(H245="Motorcycle",N(F245)*INDEX('Notes and sources'!$C$8:$D$8,1,'Start here'!$C$11),IF(H245="Bicycle",N(F245)*INDEX('Notes and sources'!$C$9:$D$9,1,'Start here'!$C$11),0))),2))</f>
        <v/>
      </c>
      <c r="L245" s="27"/>
      <c r="N245" s="2" t="n">
        <f aca="false">IF(I245="",0,MAX(0,MIN(N(F245),INDEX('Notes and sources'!$C$12:$D$12,1,'Start here'!$C$11)-(I245-N(F245)))))</f>
        <v>0</v>
      </c>
      <c r="O245" s="2" t="n">
        <f aca="false">IF(I245="",0,N(F245)-N245)</f>
        <v>0</v>
      </c>
      <c r="P245" s="2" t="str">
        <f aca="false">IF(A245="","",IF(AND(MONTH(A245)=4,DAY(A245)&lt;6),13,MOD(MONTH(A245)-4,12)+1))</f>
        <v/>
      </c>
    </row>
    <row r="246" customFormat="false" ht="15" hidden="false" customHeight="false" outlineLevel="0" collapsed="false">
      <c r="A246" s="21"/>
      <c r="B246" s="6"/>
      <c r="C246" s="6"/>
      <c r="D246" s="6"/>
      <c r="E246" s="6"/>
      <c r="F246" s="22"/>
      <c r="G246" s="23"/>
      <c r="H246" s="24" t="str">
        <f aca="false">IF(B246="","",IFERROR(INDEX('Start here'!$C$16:$C$20,MATCH(B246,'Start here'!$B$16:$B$20,0)),"Check vehicle"))</f>
        <v/>
      </c>
      <c r="I246" s="25" t="str">
        <f aca="false">IF(OR(F246="",H246&lt;&gt;"Car or van"),"",SUMIFS($F$6:F246,$H$6:H246,"Car or van"))</f>
        <v/>
      </c>
      <c r="J246" s="24" t="str">
        <f aca="false">IF(F246="","",IF(H246="Car or van",IF(O246=0,TEXT(INDEX('Notes and sources'!$C$6:$D$6,1,'Start here'!$C$11)*100,"0")&amp;"p",IF(N246=0,TEXT(INDEX('Notes and sources'!$C$7:$D$7,1,'Start here'!$C$11)*100,"0")&amp;"p",TEXT(INDEX('Notes and sources'!$C$6:$D$6,1,'Start here'!$C$11)*100,"0")&amp;"p/"&amp;TEXT(INDEX('Notes and sources'!$C$7:$D$7,1,'Start here'!$C$11)*100,"0")&amp;"p")),IF(H246="Motorcycle",TEXT(INDEX('Notes and sources'!$C$8:$D$8,1,'Start here'!$C$11)*100,"0")&amp;"p",IF(H246="Bicycle",TEXT(INDEX('Notes and sources'!$C$9:$D$9,1,'Start here'!$C$11)*100,"0")&amp;"p",""))))</f>
        <v/>
      </c>
      <c r="K246" s="26" t="str">
        <f aca="false">IF(F246="","",ROUND(IF(H246="Car or van",N246*INDEX('Notes and sources'!$C$6:$D$6,1,'Start here'!$C$11)+O246*INDEX('Notes and sources'!$C$7:$D$7,1,'Start here'!$C$11)+N(G246)*N(F246)*INDEX('Notes and sources'!$C$10:$D$10,1,'Start here'!$C$11),IF(H246="Motorcycle",N(F246)*INDEX('Notes and sources'!$C$8:$D$8,1,'Start here'!$C$11),IF(H246="Bicycle",N(F246)*INDEX('Notes and sources'!$C$9:$D$9,1,'Start here'!$C$11),0))),2))</f>
        <v/>
      </c>
      <c r="L246" s="27"/>
      <c r="N246" s="2" t="n">
        <f aca="false">IF(I246="",0,MAX(0,MIN(N(F246),INDEX('Notes and sources'!$C$12:$D$12,1,'Start here'!$C$11)-(I246-N(F246)))))</f>
        <v>0</v>
      </c>
      <c r="O246" s="2" t="n">
        <f aca="false">IF(I246="",0,N(F246)-N246)</f>
        <v>0</v>
      </c>
      <c r="P246" s="2" t="str">
        <f aca="false">IF(A246="","",IF(AND(MONTH(A246)=4,DAY(A246)&lt;6),13,MOD(MONTH(A246)-4,12)+1))</f>
        <v/>
      </c>
    </row>
    <row r="247" customFormat="false" ht="15" hidden="false" customHeight="false" outlineLevel="0" collapsed="false">
      <c r="A247" s="21"/>
      <c r="B247" s="6"/>
      <c r="C247" s="6"/>
      <c r="D247" s="6"/>
      <c r="E247" s="6"/>
      <c r="F247" s="22"/>
      <c r="G247" s="23"/>
      <c r="H247" s="24" t="str">
        <f aca="false">IF(B247="","",IFERROR(INDEX('Start here'!$C$16:$C$20,MATCH(B247,'Start here'!$B$16:$B$20,0)),"Check vehicle"))</f>
        <v/>
      </c>
      <c r="I247" s="25" t="str">
        <f aca="false">IF(OR(F247="",H247&lt;&gt;"Car or van"),"",SUMIFS($F$6:F247,$H$6:H247,"Car or van"))</f>
        <v/>
      </c>
      <c r="J247" s="24" t="str">
        <f aca="false">IF(F247="","",IF(H247="Car or van",IF(O247=0,TEXT(INDEX('Notes and sources'!$C$6:$D$6,1,'Start here'!$C$11)*100,"0")&amp;"p",IF(N247=0,TEXT(INDEX('Notes and sources'!$C$7:$D$7,1,'Start here'!$C$11)*100,"0")&amp;"p",TEXT(INDEX('Notes and sources'!$C$6:$D$6,1,'Start here'!$C$11)*100,"0")&amp;"p/"&amp;TEXT(INDEX('Notes and sources'!$C$7:$D$7,1,'Start here'!$C$11)*100,"0")&amp;"p")),IF(H247="Motorcycle",TEXT(INDEX('Notes and sources'!$C$8:$D$8,1,'Start here'!$C$11)*100,"0")&amp;"p",IF(H247="Bicycle",TEXT(INDEX('Notes and sources'!$C$9:$D$9,1,'Start here'!$C$11)*100,"0")&amp;"p",""))))</f>
        <v/>
      </c>
      <c r="K247" s="26" t="str">
        <f aca="false">IF(F247="","",ROUND(IF(H247="Car or van",N247*INDEX('Notes and sources'!$C$6:$D$6,1,'Start here'!$C$11)+O247*INDEX('Notes and sources'!$C$7:$D$7,1,'Start here'!$C$11)+N(G247)*N(F247)*INDEX('Notes and sources'!$C$10:$D$10,1,'Start here'!$C$11),IF(H247="Motorcycle",N(F247)*INDEX('Notes and sources'!$C$8:$D$8,1,'Start here'!$C$11),IF(H247="Bicycle",N(F247)*INDEX('Notes and sources'!$C$9:$D$9,1,'Start here'!$C$11),0))),2))</f>
        <v/>
      </c>
      <c r="L247" s="27"/>
      <c r="N247" s="2" t="n">
        <f aca="false">IF(I247="",0,MAX(0,MIN(N(F247),INDEX('Notes and sources'!$C$12:$D$12,1,'Start here'!$C$11)-(I247-N(F247)))))</f>
        <v>0</v>
      </c>
      <c r="O247" s="2" t="n">
        <f aca="false">IF(I247="",0,N(F247)-N247)</f>
        <v>0</v>
      </c>
      <c r="P247" s="2" t="str">
        <f aca="false">IF(A247="","",IF(AND(MONTH(A247)=4,DAY(A247)&lt;6),13,MOD(MONTH(A247)-4,12)+1))</f>
        <v/>
      </c>
    </row>
    <row r="248" customFormat="false" ht="15" hidden="false" customHeight="false" outlineLevel="0" collapsed="false">
      <c r="A248" s="21"/>
      <c r="B248" s="6"/>
      <c r="C248" s="6"/>
      <c r="D248" s="6"/>
      <c r="E248" s="6"/>
      <c r="F248" s="22"/>
      <c r="G248" s="23"/>
      <c r="H248" s="24" t="str">
        <f aca="false">IF(B248="","",IFERROR(INDEX('Start here'!$C$16:$C$20,MATCH(B248,'Start here'!$B$16:$B$20,0)),"Check vehicle"))</f>
        <v/>
      </c>
      <c r="I248" s="25" t="str">
        <f aca="false">IF(OR(F248="",H248&lt;&gt;"Car or van"),"",SUMIFS($F$6:F248,$H$6:H248,"Car or van"))</f>
        <v/>
      </c>
      <c r="J248" s="24" t="str">
        <f aca="false">IF(F248="","",IF(H248="Car or van",IF(O248=0,TEXT(INDEX('Notes and sources'!$C$6:$D$6,1,'Start here'!$C$11)*100,"0")&amp;"p",IF(N248=0,TEXT(INDEX('Notes and sources'!$C$7:$D$7,1,'Start here'!$C$11)*100,"0")&amp;"p",TEXT(INDEX('Notes and sources'!$C$6:$D$6,1,'Start here'!$C$11)*100,"0")&amp;"p/"&amp;TEXT(INDEX('Notes and sources'!$C$7:$D$7,1,'Start here'!$C$11)*100,"0")&amp;"p")),IF(H248="Motorcycle",TEXT(INDEX('Notes and sources'!$C$8:$D$8,1,'Start here'!$C$11)*100,"0")&amp;"p",IF(H248="Bicycle",TEXT(INDEX('Notes and sources'!$C$9:$D$9,1,'Start here'!$C$11)*100,"0")&amp;"p",""))))</f>
        <v/>
      </c>
      <c r="K248" s="26" t="str">
        <f aca="false">IF(F248="","",ROUND(IF(H248="Car or van",N248*INDEX('Notes and sources'!$C$6:$D$6,1,'Start here'!$C$11)+O248*INDEX('Notes and sources'!$C$7:$D$7,1,'Start here'!$C$11)+N(G248)*N(F248)*INDEX('Notes and sources'!$C$10:$D$10,1,'Start here'!$C$11),IF(H248="Motorcycle",N(F248)*INDEX('Notes and sources'!$C$8:$D$8,1,'Start here'!$C$11),IF(H248="Bicycle",N(F248)*INDEX('Notes and sources'!$C$9:$D$9,1,'Start here'!$C$11),0))),2))</f>
        <v/>
      </c>
      <c r="L248" s="27"/>
      <c r="N248" s="2" t="n">
        <f aca="false">IF(I248="",0,MAX(0,MIN(N(F248),INDEX('Notes and sources'!$C$12:$D$12,1,'Start here'!$C$11)-(I248-N(F248)))))</f>
        <v>0</v>
      </c>
      <c r="O248" s="2" t="n">
        <f aca="false">IF(I248="",0,N(F248)-N248)</f>
        <v>0</v>
      </c>
      <c r="P248" s="2" t="str">
        <f aca="false">IF(A248="","",IF(AND(MONTH(A248)=4,DAY(A248)&lt;6),13,MOD(MONTH(A248)-4,12)+1))</f>
        <v/>
      </c>
    </row>
    <row r="249" customFormat="false" ht="15" hidden="false" customHeight="false" outlineLevel="0" collapsed="false">
      <c r="A249" s="21"/>
      <c r="B249" s="6"/>
      <c r="C249" s="6"/>
      <c r="D249" s="6"/>
      <c r="E249" s="6"/>
      <c r="F249" s="22"/>
      <c r="G249" s="23"/>
      <c r="H249" s="24" t="str">
        <f aca="false">IF(B249="","",IFERROR(INDEX('Start here'!$C$16:$C$20,MATCH(B249,'Start here'!$B$16:$B$20,0)),"Check vehicle"))</f>
        <v/>
      </c>
      <c r="I249" s="25" t="str">
        <f aca="false">IF(OR(F249="",H249&lt;&gt;"Car or van"),"",SUMIFS($F$6:F249,$H$6:H249,"Car or van"))</f>
        <v/>
      </c>
      <c r="J249" s="24" t="str">
        <f aca="false">IF(F249="","",IF(H249="Car or van",IF(O249=0,TEXT(INDEX('Notes and sources'!$C$6:$D$6,1,'Start here'!$C$11)*100,"0")&amp;"p",IF(N249=0,TEXT(INDEX('Notes and sources'!$C$7:$D$7,1,'Start here'!$C$11)*100,"0")&amp;"p",TEXT(INDEX('Notes and sources'!$C$6:$D$6,1,'Start here'!$C$11)*100,"0")&amp;"p/"&amp;TEXT(INDEX('Notes and sources'!$C$7:$D$7,1,'Start here'!$C$11)*100,"0")&amp;"p")),IF(H249="Motorcycle",TEXT(INDEX('Notes and sources'!$C$8:$D$8,1,'Start here'!$C$11)*100,"0")&amp;"p",IF(H249="Bicycle",TEXT(INDEX('Notes and sources'!$C$9:$D$9,1,'Start here'!$C$11)*100,"0")&amp;"p",""))))</f>
        <v/>
      </c>
      <c r="K249" s="26" t="str">
        <f aca="false">IF(F249="","",ROUND(IF(H249="Car or van",N249*INDEX('Notes and sources'!$C$6:$D$6,1,'Start here'!$C$11)+O249*INDEX('Notes and sources'!$C$7:$D$7,1,'Start here'!$C$11)+N(G249)*N(F249)*INDEX('Notes and sources'!$C$10:$D$10,1,'Start here'!$C$11),IF(H249="Motorcycle",N(F249)*INDEX('Notes and sources'!$C$8:$D$8,1,'Start here'!$C$11),IF(H249="Bicycle",N(F249)*INDEX('Notes and sources'!$C$9:$D$9,1,'Start here'!$C$11),0))),2))</f>
        <v/>
      </c>
      <c r="L249" s="27"/>
      <c r="N249" s="2" t="n">
        <f aca="false">IF(I249="",0,MAX(0,MIN(N(F249),INDEX('Notes and sources'!$C$12:$D$12,1,'Start here'!$C$11)-(I249-N(F249)))))</f>
        <v>0</v>
      </c>
      <c r="O249" s="2" t="n">
        <f aca="false">IF(I249="",0,N(F249)-N249)</f>
        <v>0</v>
      </c>
      <c r="P249" s="2" t="str">
        <f aca="false">IF(A249="","",IF(AND(MONTH(A249)=4,DAY(A249)&lt;6),13,MOD(MONTH(A249)-4,12)+1))</f>
        <v/>
      </c>
    </row>
    <row r="250" customFormat="false" ht="15" hidden="false" customHeight="false" outlineLevel="0" collapsed="false">
      <c r="A250" s="21"/>
      <c r="B250" s="6"/>
      <c r="C250" s="6"/>
      <c r="D250" s="6"/>
      <c r="E250" s="6"/>
      <c r="F250" s="22"/>
      <c r="G250" s="23"/>
      <c r="H250" s="24" t="str">
        <f aca="false">IF(B250="","",IFERROR(INDEX('Start here'!$C$16:$C$20,MATCH(B250,'Start here'!$B$16:$B$20,0)),"Check vehicle"))</f>
        <v/>
      </c>
      <c r="I250" s="25" t="str">
        <f aca="false">IF(OR(F250="",H250&lt;&gt;"Car or van"),"",SUMIFS($F$6:F250,$H$6:H250,"Car or van"))</f>
        <v/>
      </c>
      <c r="J250" s="24" t="str">
        <f aca="false">IF(F250="","",IF(H250="Car or van",IF(O250=0,TEXT(INDEX('Notes and sources'!$C$6:$D$6,1,'Start here'!$C$11)*100,"0")&amp;"p",IF(N250=0,TEXT(INDEX('Notes and sources'!$C$7:$D$7,1,'Start here'!$C$11)*100,"0")&amp;"p",TEXT(INDEX('Notes and sources'!$C$6:$D$6,1,'Start here'!$C$11)*100,"0")&amp;"p/"&amp;TEXT(INDEX('Notes and sources'!$C$7:$D$7,1,'Start here'!$C$11)*100,"0")&amp;"p")),IF(H250="Motorcycle",TEXT(INDEX('Notes and sources'!$C$8:$D$8,1,'Start here'!$C$11)*100,"0")&amp;"p",IF(H250="Bicycle",TEXT(INDEX('Notes and sources'!$C$9:$D$9,1,'Start here'!$C$11)*100,"0")&amp;"p",""))))</f>
        <v/>
      </c>
      <c r="K250" s="26" t="str">
        <f aca="false">IF(F250="","",ROUND(IF(H250="Car or van",N250*INDEX('Notes and sources'!$C$6:$D$6,1,'Start here'!$C$11)+O250*INDEX('Notes and sources'!$C$7:$D$7,1,'Start here'!$C$11)+N(G250)*N(F250)*INDEX('Notes and sources'!$C$10:$D$10,1,'Start here'!$C$11),IF(H250="Motorcycle",N(F250)*INDEX('Notes and sources'!$C$8:$D$8,1,'Start here'!$C$11),IF(H250="Bicycle",N(F250)*INDEX('Notes and sources'!$C$9:$D$9,1,'Start here'!$C$11),0))),2))</f>
        <v/>
      </c>
      <c r="L250" s="27"/>
      <c r="N250" s="2" t="n">
        <f aca="false">IF(I250="",0,MAX(0,MIN(N(F250),INDEX('Notes and sources'!$C$12:$D$12,1,'Start here'!$C$11)-(I250-N(F250)))))</f>
        <v>0</v>
      </c>
      <c r="O250" s="2" t="n">
        <f aca="false">IF(I250="",0,N(F250)-N250)</f>
        <v>0</v>
      </c>
      <c r="P250" s="2" t="str">
        <f aca="false">IF(A250="","",IF(AND(MONTH(A250)=4,DAY(A250)&lt;6),13,MOD(MONTH(A250)-4,12)+1))</f>
        <v/>
      </c>
    </row>
    <row r="251" customFormat="false" ht="15" hidden="false" customHeight="false" outlineLevel="0" collapsed="false">
      <c r="A251" s="21"/>
      <c r="B251" s="6"/>
      <c r="C251" s="6"/>
      <c r="D251" s="6"/>
      <c r="E251" s="6"/>
      <c r="F251" s="22"/>
      <c r="G251" s="23"/>
      <c r="H251" s="24" t="str">
        <f aca="false">IF(B251="","",IFERROR(INDEX('Start here'!$C$16:$C$20,MATCH(B251,'Start here'!$B$16:$B$20,0)),"Check vehicle"))</f>
        <v/>
      </c>
      <c r="I251" s="25" t="str">
        <f aca="false">IF(OR(F251="",H251&lt;&gt;"Car or van"),"",SUMIFS($F$6:F251,$H$6:H251,"Car or van"))</f>
        <v/>
      </c>
      <c r="J251" s="24" t="str">
        <f aca="false">IF(F251="","",IF(H251="Car or van",IF(O251=0,TEXT(INDEX('Notes and sources'!$C$6:$D$6,1,'Start here'!$C$11)*100,"0")&amp;"p",IF(N251=0,TEXT(INDEX('Notes and sources'!$C$7:$D$7,1,'Start here'!$C$11)*100,"0")&amp;"p",TEXT(INDEX('Notes and sources'!$C$6:$D$6,1,'Start here'!$C$11)*100,"0")&amp;"p/"&amp;TEXT(INDEX('Notes and sources'!$C$7:$D$7,1,'Start here'!$C$11)*100,"0")&amp;"p")),IF(H251="Motorcycle",TEXT(INDEX('Notes and sources'!$C$8:$D$8,1,'Start here'!$C$11)*100,"0")&amp;"p",IF(H251="Bicycle",TEXT(INDEX('Notes and sources'!$C$9:$D$9,1,'Start here'!$C$11)*100,"0")&amp;"p",""))))</f>
        <v/>
      </c>
      <c r="K251" s="26" t="str">
        <f aca="false">IF(F251="","",ROUND(IF(H251="Car or van",N251*INDEX('Notes and sources'!$C$6:$D$6,1,'Start here'!$C$11)+O251*INDEX('Notes and sources'!$C$7:$D$7,1,'Start here'!$C$11)+N(G251)*N(F251)*INDEX('Notes and sources'!$C$10:$D$10,1,'Start here'!$C$11),IF(H251="Motorcycle",N(F251)*INDEX('Notes and sources'!$C$8:$D$8,1,'Start here'!$C$11),IF(H251="Bicycle",N(F251)*INDEX('Notes and sources'!$C$9:$D$9,1,'Start here'!$C$11),0))),2))</f>
        <v/>
      </c>
      <c r="L251" s="27"/>
      <c r="N251" s="2" t="n">
        <f aca="false">IF(I251="",0,MAX(0,MIN(N(F251),INDEX('Notes and sources'!$C$12:$D$12,1,'Start here'!$C$11)-(I251-N(F251)))))</f>
        <v>0</v>
      </c>
      <c r="O251" s="2" t="n">
        <f aca="false">IF(I251="",0,N(F251)-N251)</f>
        <v>0</v>
      </c>
      <c r="P251" s="2" t="str">
        <f aca="false">IF(A251="","",IF(AND(MONTH(A251)=4,DAY(A251)&lt;6),13,MOD(MONTH(A251)-4,12)+1))</f>
        <v/>
      </c>
    </row>
    <row r="252" customFormat="false" ht="15" hidden="false" customHeight="false" outlineLevel="0" collapsed="false">
      <c r="A252" s="21"/>
      <c r="B252" s="6"/>
      <c r="C252" s="6"/>
      <c r="D252" s="6"/>
      <c r="E252" s="6"/>
      <c r="F252" s="22"/>
      <c r="G252" s="23"/>
      <c r="H252" s="24" t="str">
        <f aca="false">IF(B252="","",IFERROR(INDEX('Start here'!$C$16:$C$20,MATCH(B252,'Start here'!$B$16:$B$20,0)),"Check vehicle"))</f>
        <v/>
      </c>
      <c r="I252" s="25" t="str">
        <f aca="false">IF(OR(F252="",H252&lt;&gt;"Car or van"),"",SUMIFS($F$6:F252,$H$6:H252,"Car or van"))</f>
        <v/>
      </c>
      <c r="J252" s="24" t="str">
        <f aca="false">IF(F252="","",IF(H252="Car or van",IF(O252=0,TEXT(INDEX('Notes and sources'!$C$6:$D$6,1,'Start here'!$C$11)*100,"0")&amp;"p",IF(N252=0,TEXT(INDEX('Notes and sources'!$C$7:$D$7,1,'Start here'!$C$11)*100,"0")&amp;"p",TEXT(INDEX('Notes and sources'!$C$6:$D$6,1,'Start here'!$C$11)*100,"0")&amp;"p/"&amp;TEXT(INDEX('Notes and sources'!$C$7:$D$7,1,'Start here'!$C$11)*100,"0")&amp;"p")),IF(H252="Motorcycle",TEXT(INDEX('Notes and sources'!$C$8:$D$8,1,'Start here'!$C$11)*100,"0")&amp;"p",IF(H252="Bicycle",TEXT(INDEX('Notes and sources'!$C$9:$D$9,1,'Start here'!$C$11)*100,"0")&amp;"p",""))))</f>
        <v/>
      </c>
      <c r="K252" s="26" t="str">
        <f aca="false">IF(F252="","",ROUND(IF(H252="Car or van",N252*INDEX('Notes and sources'!$C$6:$D$6,1,'Start here'!$C$11)+O252*INDEX('Notes and sources'!$C$7:$D$7,1,'Start here'!$C$11)+N(G252)*N(F252)*INDEX('Notes and sources'!$C$10:$D$10,1,'Start here'!$C$11),IF(H252="Motorcycle",N(F252)*INDEX('Notes and sources'!$C$8:$D$8,1,'Start here'!$C$11),IF(H252="Bicycle",N(F252)*INDEX('Notes and sources'!$C$9:$D$9,1,'Start here'!$C$11),0))),2))</f>
        <v/>
      </c>
      <c r="L252" s="27"/>
      <c r="N252" s="2" t="n">
        <f aca="false">IF(I252="",0,MAX(0,MIN(N(F252),INDEX('Notes and sources'!$C$12:$D$12,1,'Start here'!$C$11)-(I252-N(F252)))))</f>
        <v>0</v>
      </c>
      <c r="O252" s="2" t="n">
        <f aca="false">IF(I252="",0,N(F252)-N252)</f>
        <v>0</v>
      </c>
      <c r="P252" s="2" t="str">
        <f aca="false">IF(A252="","",IF(AND(MONTH(A252)=4,DAY(A252)&lt;6),13,MOD(MONTH(A252)-4,12)+1))</f>
        <v/>
      </c>
    </row>
    <row r="253" customFormat="false" ht="15" hidden="false" customHeight="false" outlineLevel="0" collapsed="false">
      <c r="A253" s="21"/>
      <c r="B253" s="6"/>
      <c r="C253" s="6"/>
      <c r="D253" s="6"/>
      <c r="E253" s="6"/>
      <c r="F253" s="22"/>
      <c r="G253" s="23"/>
      <c r="H253" s="24" t="str">
        <f aca="false">IF(B253="","",IFERROR(INDEX('Start here'!$C$16:$C$20,MATCH(B253,'Start here'!$B$16:$B$20,0)),"Check vehicle"))</f>
        <v/>
      </c>
      <c r="I253" s="25" t="str">
        <f aca="false">IF(OR(F253="",H253&lt;&gt;"Car or van"),"",SUMIFS($F$6:F253,$H$6:H253,"Car or van"))</f>
        <v/>
      </c>
      <c r="J253" s="24" t="str">
        <f aca="false">IF(F253="","",IF(H253="Car or van",IF(O253=0,TEXT(INDEX('Notes and sources'!$C$6:$D$6,1,'Start here'!$C$11)*100,"0")&amp;"p",IF(N253=0,TEXT(INDEX('Notes and sources'!$C$7:$D$7,1,'Start here'!$C$11)*100,"0")&amp;"p",TEXT(INDEX('Notes and sources'!$C$6:$D$6,1,'Start here'!$C$11)*100,"0")&amp;"p/"&amp;TEXT(INDEX('Notes and sources'!$C$7:$D$7,1,'Start here'!$C$11)*100,"0")&amp;"p")),IF(H253="Motorcycle",TEXT(INDEX('Notes and sources'!$C$8:$D$8,1,'Start here'!$C$11)*100,"0")&amp;"p",IF(H253="Bicycle",TEXT(INDEX('Notes and sources'!$C$9:$D$9,1,'Start here'!$C$11)*100,"0")&amp;"p",""))))</f>
        <v/>
      </c>
      <c r="K253" s="26" t="str">
        <f aca="false">IF(F253="","",ROUND(IF(H253="Car or van",N253*INDEX('Notes and sources'!$C$6:$D$6,1,'Start here'!$C$11)+O253*INDEX('Notes and sources'!$C$7:$D$7,1,'Start here'!$C$11)+N(G253)*N(F253)*INDEX('Notes and sources'!$C$10:$D$10,1,'Start here'!$C$11),IF(H253="Motorcycle",N(F253)*INDEX('Notes and sources'!$C$8:$D$8,1,'Start here'!$C$11),IF(H253="Bicycle",N(F253)*INDEX('Notes and sources'!$C$9:$D$9,1,'Start here'!$C$11),0))),2))</f>
        <v/>
      </c>
      <c r="L253" s="27"/>
      <c r="N253" s="2" t="n">
        <f aca="false">IF(I253="",0,MAX(0,MIN(N(F253),INDEX('Notes and sources'!$C$12:$D$12,1,'Start here'!$C$11)-(I253-N(F253)))))</f>
        <v>0</v>
      </c>
      <c r="O253" s="2" t="n">
        <f aca="false">IF(I253="",0,N(F253)-N253)</f>
        <v>0</v>
      </c>
      <c r="P253" s="2" t="str">
        <f aca="false">IF(A253="","",IF(AND(MONTH(A253)=4,DAY(A253)&lt;6),13,MOD(MONTH(A253)-4,12)+1))</f>
        <v/>
      </c>
    </row>
    <row r="254" customFormat="false" ht="15" hidden="false" customHeight="false" outlineLevel="0" collapsed="false">
      <c r="A254" s="21"/>
      <c r="B254" s="6"/>
      <c r="C254" s="6"/>
      <c r="D254" s="6"/>
      <c r="E254" s="6"/>
      <c r="F254" s="22"/>
      <c r="G254" s="23"/>
      <c r="H254" s="24" t="str">
        <f aca="false">IF(B254="","",IFERROR(INDEX('Start here'!$C$16:$C$20,MATCH(B254,'Start here'!$B$16:$B$20,0)),"Check vehicle"))</f>
        <v/>
      </c>
      <c r="I254" s="25" t="str">
        <f aca="false">IF(OR(F254="",H254&lt;&gt;"Car or van"),"",SUMIFS($F$6:F254,$H$6:H254,"Car or van"))</f>
        <v/>
      </c>
      <c r="J254" s="24" t="str">
        <f aca="false">IF(F254="","",IF(H254="Car or van",IF(O254=0,TEXT(INDEX('Notes and sources'!$C$6:$D$6,1,'Start here'!$C$11)*100,"0")&amp;"p",IF(N254=0,TEXT(INDEX('Notes and sources'!$C$7:$D$7,1,'Start here'!$C$11)*100,"0")&amp;"p",TEXT(INDEX('Notes and sources'!$C$6:$D$6,1,'Start here'!$C$11)*100,"0")&amp;"p/"&amp;TEXT(INDEX('Notes and sources'!$C$7:$D$7,1,'Start here'!$C$11)*100,"0")&amp;"p")),IF(H254="Motorcycle",TEXT(INDEX('Notes and sources'!$C$8:$D$8,1,'Start here'!$C$11)*100,"0")&amp;"p",IF(H254="Bicycle",TEXT(INDEX('Notes and sources'!$C$9:$D$9,1,'Start here'!$C$11)*100,"0")&amp;"p",""))))</f>
        <v/>
      </c>
      <c r="K254" s="26" t="str">
        <f aca="false">IF(F254="","",ROUND(IF(H254="Car or van",N254*INDEX('Notes and sources'!$C$6:$D$6,1,'Start here'!$C$11)+O254*INDEX('Notes and sources'!$C$7:$D$7,1,'Start here'!$C$11)+N(G254)*N(F254)*INDEX('Notes and sources'!$C$10:$D$10,1,'Start here'!$C$11),IF(H254="Motorcycle",N(F254)*INDEX('Notes and sources'!$C$8:$D$8,1,'Start here'!$C$11),IF(H254="Bicycle",N(F254)*INDEX('Notes and sources'!$C$9:$D$9,1,'Start here'!$C$11),0))),2))</f>
        <v/>
      </c>
      <c r="L254" s="27"/>
      <c r="N254" s="2" t="n">
        <f aca="false">IF(I254="",0,MAX(0,MIN(N(F254),INDEX('Notes and sources'!$C$12:$D$12,1,'Start here'!$C$11)-(I254-N(F254)))))</f>
        <v>0</v>
      </c>
      <c r="O254" s="2" t="n">
        <f aca="false">IF(I254="",0,N(F254)-N254)</f>
        <v>0</v>
      </c>
      <c r="P254" s="2" t="str">
        <f aca="false">IF(A254="","",IF(AND(MONTH(A254)=4,DAY(A254)&lt;6),13,MOD(MONTH(A254)-4,12)+1))</f>
        <v/>
      </c>
    </row>
    <row r="255" customFormat="false" ht="15" hidden="false" customHeight="false" outlineLevel="0" collapsed="false">
      <c r="A255" s="21"/>
      <c r="B255" s="6"/>
      <c r="C255" s="6"/>
      <c r="D255" s="6"/>
      <c r="E255" s="6"/>
      <c r="F255" s="22"/>
      <c r="G255" s="23"/>
      <c r="H255" s="24" t="str">
        <f aca="false">IF(B255="","",IFERROR(INDEX('Start here'!$C$16:$C$20,MATCH(B255,'Start here'!$B$16:$B$20,0)),"Check vehicle"))</f>
        <v/>
      </c>
      <c r="I255" s="25" t="str">
        <f aca="false">IF(OR(F255="",H255&lt;&gt;"Car or van"),"",SUMIFS($F$6:F255,$H$6:H255,"Car or van"))</f>
        <v/>
      </c>
      <c r="J255" s="24" t="str">
        <f aca="false">IF(F255="","",IF(H255="Car or van",IF(O255=0,TEXT(INDEX('Notes and sources'!$C$6:$D$6,1,'Start here'!$C$11)*100,"0")&amp;"p",IF(N255=0,TEXT(INDEX('Notes and sources'!$C$7:$D$7,1,'Start here'!$C$11)*100,"0")&amp;"p",TEXT(INDEX('Notes and sources'!$C$6:$D$6,1,'Start here'!$C$11)*100,"0")&amp;"p/"&amp;TEXT(INDEX('Notes and sources'!$C$7:$D$7,1,'Start here'!$C$11)*100,"0")&amp;"p")),IF(H255="Motorcycle",TEXT(INDEX('Notes and sources'!$C$8:$D$8,1,'Start here'!$C$11)*100,"0")&amp;"p",IF(H255="Bicycle",TEXT(INDEX('Notes and sources'!$C$9:$D$9,1,'Start here'!$C$11)*100,"0")&amp;"p",""))))</f>
        <v/>
      </c>
      <c r="K255" s="26" t="str">
        <f aca="false">IF(F255="","",ROUND(IF(H255="Car or van",N255*INDEX('Notes and sources'!$C$6:$D$6,1,'Start here'!$C$11)+O255*INDEX('Notes and sources'!$C$7:$D$7,1,'Start here'!$C$11)+N(G255)*N(F255)*INDEX('Notes and sources'!$C$10:$D$10,1,'Start here'!$C$11),IF(H255="Motorcycle",N(F255)*INDEX('Notes and sources'!$C$8:$D$8,1,'Start here'!$C$11),IF(H255="Bicycle",N(F255)*INDEX('Notes and sources'!$C$9:$D$9,1,'Start here'!$C$11),0))),2))</f>
        <v/>
      </c>
      <c r="L255" s="27"/>
      <c r="N255" s="2" t="n">
        <f aca="false">IF(I255="",0,MAX(0,MIN(N(F255),INDEX('Notes and sources'!$C$12:$D$12,1,'Start here'!$C$11)-(I255-N(F255)))))</f>
        <v>0</v>
      </c>
      <c r="O255" s="2" t="n">
        <f aca="false">IF(I255="",0,N(F255)-N255)</f>
        <v>0</v>
      </c>
      <c r="P255" s="2" t="str">
        <f aca="false">IF(A255="","",IF(AND(MONTH(A255)=4,DAY(A255)&lt;6),13,MOD(MONTH(A255)-4,12)+1))</f>
        <v/>
      </c>
    </row>
    <row r="256" customFormat="false" ht="15" hidden="false" customHeight="false" outlineLevel="0" collapsed="false">
      <c r="A256" s="21"/>
      <c r="B256" s="6"/>
      <c r="C256" s="6"/>
      <c r="D256" s="6"/>
      <c r="E256" s="6"/>
      <c r="F256" s="22"/>
      <c r="G256" s="23"/>
      <c r="H256" s="24" t="str">
        <f aca="false">IF(B256="","",IFERROR(INDEX('Start here'!$C$16:$C$20,MATCH(B256,'Start here'!$B$16:$B$20,0)),"Check vehicle"))</f>
        <v/>
      </c>
      <c r="I256" s="25" t="str">
        <f aca="false">IF(OR(F256="",H256&lt;&gt;"Car or van"),"",SUMIFS($F$6:F256,$H$6:H256,"Car or van"))</f>
        <v/>
      </c>
      <c r="J256" s="24" t="str">
        <f aca="false">IF(F256="","",IF(H256="Car or van",IF(O256=0,TEXT(INDEX('Notes and sources'!$C$6:$D$6,1,'Start here'!$C$11)*100,"0")&amp;"p",IF(N256=0,TEXT(INDEX('Notes and sources'!$C$7:$D$7,1,'Start here'!$C$11)*100,"0")&amp;"p",TEXT(INDEX('Notes and sources'!$C$6:$D$6,1,'Start here'!$C$11)*100,"0")&amp;"p/"&amp;TEXT(INDEX('Notes and sources'!$C$7:$D$7,1,'Start here'!$C$11)*100,"0")&amp;"p")),IF(H256="Motorcycle",TEXT(INDEX('Notes and sources'!$C$8:$D$8,1,'Start here'!$C$11)*100,"0")&amp;"p",IF(H256="Bicycle",TEXT(INDEX('Notes and sources'!$C$9:$D$9,1,'Start here'!$C$11)*100,"0")&amp;"p",""))))</f>
        <v/>
      </c>
      <c r="K256" s="26" t="str">
        <f aca="false">IF(F256="","",ROUND(IF(H256="Car or van",N256*INDEX('Notes and sources'!$C$6:$D$6,1,'Start here'!$C$11)+O256*INDEX('Notes and sources'!$C$7:$D$7,1,'Start here'!$C$11)+N(G256)*N(F256)*INDEX('Notes and sources'!$C$10:$D$10,1,'Start here'!$C$11),IF(H256="Motorcycle",N(F256)*INDEX('Notes and sources'!$C$8:$D$8,1,'Start here'!$C$11),IF(H256="Bicycle",N(F256)*INDEX('Notes and sources'!$C$9:$D$9,1,'Start here'!$C$11),0))),2))</f>
        <v/>
      </c>
      <c r="L256" s="27"/>
      <c r="N256" s="2" t="n">
        <f aca="false">IF(I256="",0,MAX(0,MIN(N(F256),INDEX('Notes and sources'!$C$12:$D$12,1,'Start here'!$C$11)-(I256-N(F256)))))</f>
        <v>0</v>
      </c>
      <c r="O256" s="2" t="n">
        <f aca="false">IF(I256="",0,N(F256)-N256)</f>
        <v>0</v>
      </c>
      <c r="P256" s="2" t="str">
        <f aca="false">IF(A256="","",IF(AND(MONTH(A256)=4,DAY(A256)&lt;6),13,MOD(MONTH(A256)-4,12)+1))</f>
        <v/>
      </c>
    </row>
    <row r="257" customFormat="false" ht="15" hidden="false" customHeight="false" outlineLevel="0" collapsed="false">
      <c r="A257" s="21"/>
      <c r="B257" s="6"/>
      <c r="C257" s="6"/>
      <c r="D257" s="6"/>
      <c r="E257" s="6"/>
      <c r="F257" s="22"/>
      <c r="G257" s="23"/>
      <c r="H257" s="24" t="str">
        <f aca="false">IF(B257="","",IFERROR(INDEX('Start here'!$C$16:$C$20,MATCH(B257,'Start here'!$B$16:$B$20,0)),"Check vehicle"))</f>
        <v/>
      </c>
      <c r="I257" s="25" t="str">
        <f aca="false">IF(OR(F257="",H257&lt;&gt;"Car or van"),"",SUMIFS($F$6:F257,$H$6:H257,"Car or van"))</f>
        <v/>
      </c>
      <c r="J257" s="24" t="str">
        <f aca="false">IF(F257="","",IF(H257="Car or van",IF(O257=0,TEXT(INDEX('Notes and sources'!$C$6:$D$6,1,'Start here'!$C$11)*100,"0")&amp;"p",IF(N257=0,TEXT(INDEX('Notes and sources'!$C$7:$D$7,1,'Start here'!$C$11)*100,"0")&amp;"p",TEXT(INDEX('Notes and sources'!$C$6:$D$6,1,'Start here'!$C$11)*100,"0")&amp;"p/"&amp;TEXT(INDEX('Notes and sources'!$C$7:$D$7,1,'Start here'!$C$11)*100,"0")&amp;"p")),IF(H257="Motorcycle",TEXT(INDEX('Notes and sources'!$C$8:$D$8,1,'Start here'!$C$11)*100,"0")&amp;"p",IF(H257="Bicycle",TEXT(INDEX('Notes and sources'!$C$9:$D$9,1,'Start here'!$C$11)*100,"0")&amp;"p",""))))</f>
        <v/>
      </c>
      <c r="K257" s="26" t="str">
        <f aca="false">IF(F257="","",ROUND(IF(H257="Car or van",N257*INDEX('Notes and sources'!$C$6:$D$6,1,'Start here'!$C$11)+O257*INDEX('Notes and sources'!$C$7:$D$7,1,'Start here'!$C$11)+N(G257)*N(F257)*INDEX('Notes and sources'!$C$10:$D$10,1,'Start here'!$C$11),IF(H257="Motorcycle",N(F257)*INDEX('Notes and sources'!$C$8:$D$8,1,'Start here'!$C$11),IF(H257="Bicycle",N(F257)*INDEX('Notes and sources'!$C$9:$D$9,1,'Start here'!$C$11),0))),2))</f>
        <v/>
      </c>
      <c r="L257" s="27"/>
      <c r="N257" s="2" t="n">
        <f aca="false">IF(I257="",0,MAX(0,MIN(N(F257),INDEX('Notes and sources'!$C$12:$D$12,1,'Start here'!$C$11)-(I257-N(F257)))))</f>
        <v>0</v>
      </c>
      <c r="O257" s="2" t="n">
        <f aca="false">IF(I257="",0,N(F257)-N257)</f>
        <v>0</v>
      </c>
      <c r="P257" s="2" t="str">
        <f aca="false">IF(A257="","",IF(AND(MONTH(A257)=4,DAY(A257)&lt;6),13,MOD(MONTH(A257)-4,12)+1))</f>
        <v/>
      </c>
    </row>
    <row r="258" customFormat="false" ht="15" hidden="false" customHeight="false" outlineLevel="0" collapsed="false">
      <c r="A258" s="21"/>
      <c r="B258" s="6"/>
      <c r="C258" s="6"/>
      <c r="D258" s="6"/>
      <c r="E258" s="6"/>
      <c r="F258" s="22"/>
      <c r="G258" s="23"/>
      <c r="H258" s="24" t="str">
        <f aca="false">IF(B258="","",IFERROR(INDEX('Start here'!$C$16:$C$20,MATCH(B258,'Start here'!$B$16:$B$20,0)),"Check vehicle"))</f>
        <v/>
      </c>
      <c r="I258" s="25" t="str">
        <f aca="false">IF(OR(F258="",H258&lt;&gt;"Car or van"),"",SUMIFS($F$6:F258,$H$6:H258,"Car or van"))</f>
        <v/>
      </c>
      <c r="J258" s="24" t="str">
        <f aca="false">IF(F258="","",IF(H258="Car or van",IF(O258=0,TEXT(INDEX('Notes and sources'!$C$6:$D$6,1,'Start here'!$C$11)*100,"0")&amp;"p",IF(N258=0,TEXT(INDEX('Notes and sources'!$C$7:$D$7,1,'Start here'!$C$11)*100,"0")&amp;"p",TEXT(INDEX('Notes and sources'!$C$6:$D$6,1,'Start here'!$C$11)*100,"0")&amp;"p/"&amp;TEXT(INDEX('Notes and sources'!$C$7:$D$7,1,'Start here'!$C$11)*100,"0")&amp;"p")),IF(H258="Motorcycle",TEXT(INDEX('Notes and sources'!$C$8:$D$8,1,'Start here'!$C$11)*100,"0")&amp;"p",IF(H258="Bicycle",TEXT(INDEX('Notes and sources'!$C$9:$D$9,1,'Start here'!$C$11)*100,"0")&amp;"p",""))))</f>
        <v/>
      </c>
      <c r="K258" s="26" t="str">
        <f aca="false">IF(F258="","",ROUND(IF(H258="Car or van",N258*INDEX('Notes and sources'!$C$6:$D$6,1,'Start here'!$C$11)+O258*INDEX('Notes and sources'!$C$7:$D$7,1,'Start here'!$C$11)+N(G258)*N(F258)*INDEX('Notes and sources'!$C$10:$D$10,1,'Start here'!$C$11),IF(H258="Motorcycle",N(F258)*INDEX('Notes and sources'!$C$8:$D$8,1,'Start here'!$C$11),IF(H258="Bicycle",N(F258)*INDEX('Notes and sources'!$C$9:$D$9,1,'Start here'!$C$11),0))),2))</f>
        <v/>
      </c>
      <c r="L258" s="27"/>
      <c r="N258" s="2" t="n">
        <f aca="false">IF(I258="",0,MAX(0,MIN(N(F258),INDEX('Notes and sources'!$C$12:$D$12,1,'Start here'!$C$11)-(I258-N(F258)))))</f>
        <v>0</v>
      </c>
      <c r="O258" s="2" t="n">
        <f aca="false">IF(I258="",0,N(F258)-N258)</f>
        <v>0</v>
      </c>
      <c r="P258" s="2" t="str">
        <f aca="false">IF(A258="","",IF(AND(MONTH(A258)=4,DAY(A258)&lt;6),13,MOD(MONTH(A258)-4,12)+1))</f>
        <v/>
      </c>
    </row>
    <row r="259" customFormat="false" ht="15" hidden="false" customHeight="false" outlineLevel="0" collapsed="false">
      <c r="A259" s="21"/>
      <c r="B259" s="6"/>
      <c r="C259" s="6"/>
      <c r="D259" s="6"/>
      <c r="E259" s="6"/>
      <c r="F259" s="22"/>
      <c r="G259" s="23"/>
      <c r="H259" s="24" t="str">
        <f aca="false">IF(B259="","",IFERROR(INDEX('Start here'!$C$16:$C$20,MATCH(B259,'Start here'!$B$16:$B$20,0)),"Check vehicle"))</f>
        <v/>
      </c>
      <c r="I259" s="25" t="str">
        <f aca="false">IF(OR(F259="",H259&lt;&gt;"Car or van"),"",SUMIFS($F$6:F259,$H$6:H259,"Car or van"))</f>
        <v/>
      </c>
      <c r="J259" s="24" t="str">
        <f aca="false">IF(F259="","",IF(H259="Car or van",IF(O259=0,TEXT(INDEX('Notes and sources'!$C$6:$D$6,1,'Start here'!$C$11)*100,"0")&amp;"p",IF(N259=0,TEXT(INDEX('Notes and sources'!$C$7:$D$7,1,'Start here'!$C$11)*100,"0")&amp;"p",TEXT(INDEX('Notes and sources'!$C$6:$D$6,1,'Start here'!$C$11)*100,"0")&amp;"p/"&amp;TEXT(INDEX('Notes and sources'!$C$7:$D$7,1,'Start here'!$C$11)*100,"0")&amp;"p")),IF(H259="Motorcycle",TEXT(INDEX('Notes and sources'!$C$8:$D$8,1,'Start here'!$C$11)*100,"0")&amp;"p",IF(H259="Bicycle",TEXT(INDEX('Notes and sources'!$C$9:$D$9,1,'Start here'!$C$11)*100,"0")&amp;"p",""))))</f>
        <v/>
      </c>
      <c r="K259" s="26" t="str">
        <f aca="false">IF(F259="","",ROUND(IF(H259="Car or van",N259*INDEX('Notes and sources'!$C$6:$D$6,1,'Start here'!$C$11)+O259*INDEX('Notes and sources'!$C$7:$D$7,1,'Start here'!$C$11)+N(G259)*N(F259)*INDEX('Notes and sources'!$C$10:$D$10,1,'Start here'!$C$11),IF(H259="Motorcycle",N(F259)*INDEX('Notes and sources'!$C$8:$D$8,1,'Start here'!$C$11),IF(H259="Bicycle",N(F259)*INDEX('Notes and sources'!$C$9:$D$9,1,'Start here'!$C$11),0))),2))</f>
        <v/>
      </c>
      <c r="L259" s="27"/>
      <c r="N259" s="2" t="n">
        <f aca="false">IF(I259="",0,MAX(0,MIN(N(F259),INDEX('Notes and sources'!$C$12:$D$12,1,'Start here'!$C$11)-(I259-N(F259)))))</f>
        <v>0</v>
      </c>
      <c r="O259" s="2" t="n">
        <f aca="false">IF(I259="",0,N(F259)-N259)</f>
        <v>0</v>
      </c>
      <c r="P259" s="2" t="str">
        <f aca="false">IF(A259="","",IF(AND(MONTH(A259)=4,DAY(A259)&lt;6),13,MOD(MONTH(A259)-4,12)+1))</f>
        <v/>
      </c>
    </row>
    <row r="260" customFormat="false" ht="15" hidden="false" customHeight="false" outlineLevel="0" collapsed="false">
      <c r="A260" s="21"/>
      <c r="B260" s="6"/>
      <c r="C260" s="6"/>
      <c r="D260" s="6"/>
      <c r="E260" s="6"/>
      <c r="F260" s="22"/>
      <c r="G260" s="23"/>
      <c r="H260" s="24" t="str">
        <f aca="false">IF(B260="","",IFERROR(INDEX('Start here'!$C$16:$C$20,MATCH(B260,'Start here'!$B$16:$B$20,0)),"Check vehicle"))</f>
        <v/>
      </c>
      <c r="I260" s="25" t="str">
        <f aca="false">IF(OR(F260="",H260&lt;&gt;"Car or van"),"",SUMIFS($F$6:F260,$H$6:H260,"Car or van"))</f>
        <v/>
      </c>
      <c r="J260" s="24" t="str">
        <f aca="false">IF(F260="","",IF(H260="Car or van",IF(O260=0,TEXT(INDEX('Notes and sources'!$C$6:$D$6,1,'Start here'!$C$11)*100,"0")&amp;"p",IF(N260=0,TEXT(INDEX('Notes and sources'!$C$7:$D$7,1,'Start here'!$C$11)*100,"0")&amp;"p",TEXT(INDEX('Notes and sources'!$C$6:$D$6,1,'Start here'!$C$11)*100,"0")&amp;"p/"&amp;TEXT(INDEX('Notes and sources'!$C$7:$D$7,1,'Start here'!$C$11)*100,"0")&amp;"p")),IF(H260="Motorcycle",TEXT(INDEX('Notes and sources'!$C$8:$D$8,1,'Start here'!$C$11)*100,"0")&amp;"p",IF(H260="Bicycle",TEXT(INDEX('Notes and sources'!$C$9:$D$9,1,'Start here'!$C$11)*100,"0")&amp;"p",""))))</f>
        <v/>
      </c>
      <c r="K260" s="26" t="str">
        <f aca="false">IF(F260="","",ROUND(IF(H260="Car or van",N260*INDEX('Notes and sources'!$C$6:$D$6,1,'Start here'!$C$11)+O260*INDEX('Notes and sources'!$C$7:$D$7,1,'Start here'!$C$11)+N(G260)*N(F260)*INDEX('Notes and sources'!$C$10:$D$10,1,'Start here'!$C$11),IF(H260="Motorcycle",N(F260)*INDEX('Notes and sources'!$C$8:$D$8,1,'Start here'!$C$11),IF(H260="Bicycle",N(F260)*INDEX('Notes and sources'!$C$9:$D$9,1,'Start here'!$C$11),0))),2))</f>
        <v/>
      </c>
      <c r="L260" s="27"/>
      <c r="N260" s="2" t="n">
        <f aca="false">IF(I260="",0,MAX(0,MIN(N(F260),INDEX('Notes and sources'!$C$12:$D$12,1,'Start here'!$C$11)-(I260-N(F260)))))</f>
        <v>0</v>
      </c>
      <c r="O260" s="2" t="n">
        <f aca="false">IF(I260="",0,N(F260)-N260)</f>
        <v>0</v>
      </c>
      <c r="P260" s="2" t="str">
        <f aca="false">IF(A260="","",IF(AND(MONTH(A260)=4,DAY(A260)&lt;6),13,MOD(MONTH(A260)-4,12)+1))</f>
        <v/>
      </c>
    </row>
    <row r="261" customFormat="false" ht="15" hidden="false" customHeight="false" outlineLevel="0" collapsed="false">
      <c r="A261" s="21"/>
      <c r="B261" s="6"/>
      <c r="C261" s="6"/>
      <c r="D261" s="6"/>
      <c r="E261" s="6"/>
      <c r="F261" s="22"/>
      <c r="G261" s="23"/>
      <c r="H261" s="24" t="str">
        <f aca="false">IF(B261="","",IFERROR(INDEX('Start here'!$C$16:$C$20,MATCH(B261,'Start here'!$B$16:$B$20,0)),"Check vehicle"))</f>
        <v/>
      </c>
      <c r="I261" s="25" t="str">
        <f aca="false">IF(OR(F261="",H261&lt;&gt;"Car or van"),"",SUMIFS($F$6:F261,$H$6:H261,"Car or van"))</f>
        <v/>
      </c>
      <c r="J261" s="24" t="str">
        <f aca="false">IF(F261="","",IF(H261="Car or van",IF(O261=0,TEXT(INDEX('Notes and sources'!$C$6:$D$6,1,'Start here'!$C$11)*100,"0")&amp;"p",IF(N261=0,TEXT(INDEX('Notes and sources'!$C$7:$D$7,1,'Start here'!$C$11)*100,"0")&amp;"p",TEXT(INDEX('Notes and sources'!$C$6:$D$6,1,'Start here'!$C$11)*100,"0")&amp;"p/"&amp;TEXT(INDEX('Notes and sources'!$C$7:$D$7,1,'Start here'!$C$11)*100,"0")&amp;"p")),IF(H261="Motorcycle",TEXT(INDEX('Notes and sources'!$C$8:$D$8,1,'Start here'!$C$11)*100,"0")&amp;"p",IF(H261="Bicycle",TEXT(INDEX('Notes and sources'!$C$9:$D$9,1,'Start here'!$C$11)*100,"0")&amp;"p",""))))</f>
        <v/>
      </c>
      <c r="K261" s="26" t="str">
        <f aca="false">IF(F261="","",ROUND(IF(H261="Car or van",N261*INDEX('Notes and sources'!$C$6:$D$6,1,'Start here'!$C$11)+O261*INDEX('Notes and sources'!$C$7:$D$7,1,'Start here'!$C$11)+N(G261)*N(F261)*INDEX('Notes and sources'!$C$10:$D$10,1,'Start here'!$C$11),IF(H261="Motorcycle",N(F261)*INDEX('Notes and sources'!$C$8:$D$8,1,'Start here'!$C$11),IF(H261="Bicycle",N(F261)*INDEX('Notes and sources'!$C$9:$D$9,1,'Start here'!$C$11),0))),2))</f>
        <v/>
      </c>
      <c r="L261" s="27"/>
      <c r="N261" s="2" t="n">
        <f aca="false">IF(I261="",0,MAX(0,MIN(N(F261),INDEX('Notes and sources'!$C$12:$D$12,1,'Start here'!$C$11)-(I261-N(F261)))))</f>
        <v>0</v>
      </c>
      <c r="O261" s="2" t="n">
        <f aca="false">IF(I261="",0,N(F261)-N261)</f>
        <v>0</v>
      </c>
      <c r="P261" s="2" t="str">
        <f aca="false">IF(A261="","",IF(AND(MONTH(A261)=4,DAY(A261)&lt;6),13,MOD(MONTH(A261)-4,12)+1))</f>
        <v/>
      </c>
    </row>
    <row r="262" customFormat="false" ht="15" hidden="false" customHeight="false" outlineLevel="0" collapsed="false">
      <c r="A262" s="21"/>
      <c r="B262" s="6"/>
      <c r="C262" s="6"/>
      <c r="D262" s="6"/>
      <c r="E262" s="6"/>
      <c r="F262" s="22"/>
      <c r="G262" s="23"/>
      <c r="H262" s="24" t="str">
        <f aca="false">IF(B262="","",IFERROR(INDEX('Start here'!$C$16:$C$20,MATCH(B262,'Start here'!$B$16:$B$20,0)),"Check vehicle"))</f>
        <v/>
      </c>
      <c r="I262" s="25" t="str">
        <f aca="false">IF(OR(F262="",H262&lt;&gt;"Car or van"),"",SUMIFS($F$6:F262,$H$6:H262,"Car or van"))</f>
        <v/>
      </c>
      <c r="J262" s="24" t="str">
        <f aca="false">IF(F262="","",IF(H262="Car or van",IF(O262=0,TEXT(INDEX('Notes and sources'!$C$6:$D$6,1,'Start here'!$C$11)*100,"0")&amp;"p",IF(N262=0,TEXT(INDEX('Notes and sources'!$C$7:$D$7,1,'Start here'!$C$11)*100,"0")&amp;"p",TEXT(INDEX('Notes and sources'!$C$6:$D$6,1,'Start here'!$C$11)*100,"0")&amp;"p/"&amp;TEXT(INDEX('Notes and sources'!$C$7:$D$7,1,'Start here'!$C$11)*100,"0")&amp;"p")),IF(H262="Motorcycle",TEXT(INDEX('Notes and sources'!$C$8:$D$8,1,'Start here'!$C$11)*100,"0")&amp;"p",IF(H262="Bicycle",TEXT(INDEX('Notes and sources'!$C$9:$D$9,1,'Start here'!$C$11)*100,"0")&amp;"p",""))))</f>
        <v/>
      </c>
      <c r="K262" s="26" t="str">
        <f aca="false">IF(F262="","",ROUND(IF(H262="Car or van",N262*INDEX('Notes and sources'!$C$6:$D$6,1,'Start here'!$C$11)+O262*INDEX('Notes and sources'!$C$7:$D$7,1,'Start here'!$C$11)+N(G262)*N(F262)*INDEX('Notes and sources'!$C$10:$D$10,1,'Start here'!$C$11),IF(H262="Motorcycle",N(F262)*INDEX('Notes and sources'!$C$8:$D$8,1,'Start here'!$C$11),IF(H262="Bicycle",N(F262)*INDEX('Notes and sources'!$C$9:$D$9,1,'Start here'!$C$11),0))),2))</f>
        <v/>
      </c>
      <c r="L262" s="27"/>
      <c r="N262" s="2" t="n">
        <f aca="false">IF(I262="",0,MAX(0,MIN(N(F262),INDEX('Notes and sources'!$C$12:$D$12,1,'Start here'!$C$11)-(I262-N(F262)))))</f>
        <v>0</v>
      </c>
      <c r="O262" s="2" t="n">
        <f aca="false">IF(I262="",0,N(F262)-N262)</f>
        <v>0</v>
      </c>
      <c r="P262" s="2" t="str">
        <f aca="false">IF(A262="","",IF(AND(MONTH(A262)=4,DAY(A262)&lt;6),13,MOD(MONTH(A262)-4,12)+1))</f>
        <v/>
      </c>
    </row>
    <row r="263" customFormat="false" ht="15" hidden="false" customHeight="false" outlineLevel="0" collapsed="false">
      <c r="A263" s="21"/>
      <c r="B263" s="6"/>
      <c r="C263" s="6"/>
      <c r="D263" s="6"/>
      <c r="E263" s="6"/>
      <c r="F263" s="22"/>
      <c r="G263" s="23"/>
      <c r="H263" s="24" t="str">
        <f aca="false">IF(B263="","",IFERROR(INDEX('Start here'!$C$16:$C$20,MATCH(B263,'Start here'!$B$16:$B$20,0)),"Check vehicle"))</f>
        <v/>
      </c>
      <c r="I263" s="25" t="str">
        <f aca="false">IF(OR(F263="",H263&lt;&gt;"Car or van"),"",SUMIFS($F$6:F263,$H$6:H263,"Car or van"))</f>
        <v/>
      </c>
      <c r="J263" s="24" t="str">
        <f aca="false">IF(F263="","",IF(H263="Car or van",IF(O263=0,TEXT(INDEX('Notes and sources'!$C$6:$D$6,1,'Start here'!$C$11)*100,"0")&amp;"p",IF(N263=0,TEXT(INDEX('Notes and sources'!$C$7:$D$7,1,'Start here'!$C$11)*100,"0")&amp;"p",TEXT(INDEX('Notes and sources'!$C$6:$D$6,1,'Start here'!$C$11)*100,"0")&amp;"p/"&amp;TEXT(INDEX('Notes and sources'!$C$7:$D$7,1,'Start here'!$C$11)*100,"0")&amp;"p")),IF(H263="Motorcycle",TEXT(INDEX('Notes and sources'!$C$8:$D$8,1,'Start here'!$C$11)*100,"0")&amp;"p",IF(H263="Bicycle",TEXT(INDEX('Notes and sources'!$C$9:$D$9,1,'Start here'!$C$11)*100,"0")&amp;"p",""))))</f>
        <v/>
      </c>
      <c r="K263" s="26" t="str">
        <f aca="false">IF(F263="","",ROUND(IF(H263="Car or van",N263*INDEX('Notes and sources'!$C$6:$D$6,1,'Start here'!$C$11)+O263*INDEX('Notes and sources'!$C$7:$D$7,1,'Start here'!$C$11)+N(G263)*N(F263)*INDEX('Notes and sources'!$C$10:$D$10,1,'Start here'!$C$11),IF(H263="Motorcycle",N(F263)*INDEX('Notes and sources'!$C$8:$D$8,1,'Start here'!$C$11),IF(H263="Bicycle",N(F263)*INDEX('Notes and sources'!$C$9:$D$9,1,'Start here'!$C$11),0))),2))</f>
        <v/>
      </c>
      <c r="L263" s="27"/>
      <c r="N263" s="2" t="n">
        <f aca="false">IF(I263="",0,MAX(0,MIN(N(F263),INDEX('Notes and sources'!$C$12:$D$12,1,'Start here'!$C$11)-(I263-N(F263)))))</f>
        <v>0</v>
      </c>
      <c r="O263" s="2" t="n">
        <f aca="false">IF(I263="",0,N(F263)-N263)</f>
        <v>0</v>
      </c>
      <c r="P263" s="2" t="str">
        <f aca="false">IF(A263="","",IF(AND(MONTH(A263)=4,DAY(A263)&lt;6),13,MOD(MONTH(A263)-4,12)+1))</f>
        <v/>
      </c>
    </row>
    <row r="264" customFormat="false" ht="15" hidden="false" customHeight="false" outlineLevel="0" collapsed="false">
      <c r="A264" s="21"/>
      <c r="B264" s="6"/>
      <c r="C264" s="6"/>
      <c r="D264" s="6"/>
      <c r="E264" s="6"/>
      <c r="F264" s="22"/>
      <c r="G264" s="23"/>
      <c r="H264" s="24" t="str">
        <f aca="false">IF(B264="","",IFERROR(INDEX('Start here'!$C$16:$C$20,MATCH(B264,'Start here'!$B$16:$B$20,0)),"Check vehicle"))</f>
        <v/>
      </c>
      <c r="I264" s="25" t="str">
        <f aca="false">IF(OR(F264="",H264&lt;&gt;"Car or van"),"",SUMIFS($F$6:F264,$H$6:H264,"Car or van"))</f>
        <v/>
      </c>
      <c r="J264" s="24" t="str">
        <f aca="false">IF(F264="","",IF(H264="Car or van",IF(O264=0,TEXT(INDEX('Notes and sources'!$C$6:$D$6,1,'Start here'!$C$11)*100,"0")&amp;"p",IF(N264=0,TEXT(INDEX('Notes and sources'!$C$7:$D$7,1,'Start here'!$C$11)*100,"0")&amp;"p",TEXT(INDEX('Notes and sources'!$C$6:$D$6,1,'Start here'!$C$11)*100,"0")&amp;"p/"&amp;TEXT(INDEX('Notes and sources'!$C$7:$D$7,1,'Start here'!$C$11)*100,"0")&amp;"p")),IF(H264="Motorcycle",TEXT(INDEX('Notes and sources'!$C$8:$D$8,1,'Start here'!$C$11)*100,"0")&amp;"p",IF(H264="Bicycle",TEXT(INDEX('Notes and sources'!$C$9:$D$9,1,'Start here'!$C$11)*100,"0")&amp;"p",""))))</f>
        <v/>
      </c>
      <c r="K264" s="26" t="str">
        <f aca="false">IF(F264="","",ROUND(IF(H264="Car or van",N264*INDEX('Notes and sources'!$C$6:$D$6,1,'Start here'!$C$11)+O264*INDEX('Notes and sources'!$C$7:$D$7,1,'Start here'!$C$11)+N(G264)*N(F264)*INDEX('Notes and sources'!$C$10:$D$10,1,'Start here'!$C$11),IF(H264="Motorcycle",N(F264)*INDEX('Notes and sources'!$C$8:$D$8,1,'Start here'!$C$11),IF(H264="Bicycle",N(F264)*INDEX('Notes and sources'!$C$9:$D$9,1,'Start here'!$C$11),0))),2))</f>
        <v/>
      </c>
      <c r="L264" s="27"/>
      <c r="N264" s="2" t="n">
        <f aca="false">IF(I264="",0,MAX(0,MIN(N(F264),INDEX('Notes and sources'!$C$12:$D$12,1,'Start here'!$C$11)-(I264-N(F264)))))</f>
        <v>0</v>
      </c>
      <c r="O264" s="2" t="n">
        <f aca="false">IF(I264="",0,N(F264)-N264)</f>
        <v>0</v>
      </c>
      <c r="P264" s="2" t="str">
        <f aca="false">IF(A264="","",IF(AND(MONTH(A264)=4,DAY(A264)&lt;6),13,MOD(MONTH(A264)-4,12)+1))</f>
        <v/>
      </c>
    </row>
    <row r="265" customFormat="false" ht="15" hidden="false" customHeight="false" outlineLevel="0" collapsed="false">
      <c r="A265" s="21"/>
      <c r="B265" s="6"/>
      <c r="C265" s="6"/>
      <c r="D265" s="6"/>
      <c r="E265" s="6"/>
      <c r="F265" s="22"/>
      <c r="G265" s="23"/>
      <c r="H265" s="24" t="str">
        <f aca="false">IF(B265="","",IFERROR(INDEX('Start here'!$C$16:$C$20,MATCH(B265,'Start here'!$B$16:$B$20,0)),"Check vehicle"))</f>
        <v/>
      </c>
      <c r="I265" s="25" t="str">
        <f aca="false">IF(OR(F265="",H265&lt;&gt;"Car or van"),"",SUMIFS($F$6:F265,$H$6:H265,"Car or van"))</f>
        <v/>
      </c>
      <c r="J265" s="24" t="str">
        <f aca="false">IF(F265="","",IF(H265="Car or van",IF(O265=0,TEXT(INDEX('Notes and sources'!$C$6:$D$6,1,'Start here'!$C$11)*100,"0")&amp;"p",IF(N265=0,TEXT(INDEX('Notes and sources'!$C$7:$D$7,1,'Start here'!$C$11)*100,"0")&amp;"p",TEXT(INDEX('Notes and sources'!$C$6:$D$6,1,'Start here'!$C$11)*100,"0")&amp;"p/"&amp;TEXT(INDEX('Notes and sources'!$C$7:$D$7,1,'Start here'!$C$11)*100,"0")&amp;"p")),IF(H265="Motorcycle",TEXT(INDEX('Notes and sources'!$C$8:$D$8,1,'Start here'!$C$11)*100,"0")&amp;"p",IF(H265="Bicycle",TEXT(INDEX('Notes and sources'!$C$9:$D$9,1,'Start here'!$C$11)*100,"0")&amp;"p",""))))</f>
        <v/>
      </c>
      <c r="K265" s="26" t="str">
        <f aca="false">IF(F265="","",ROUND(IF(H265="Car or van",N265*INDEX('Notes and sources'!$C$6:$D$6,1,'Start here'!$C$11)+O265*INDEX('Notes and sources'!$C$7:$D$7,1,'Start here'!$C$11)+N(G265)*N(F265)*INDEX('Notes and sources'!$C$10:$D$10,1,'Start here'!$C$11),IF(H265="Motorcycle",N(F265)*INDEX('Notes and sources'!$C$8:$D$8,1,'Start here'!$C$11),IF(H265="Bicycle",N(F265)*INDEX('Notes and sources'!$C$9:$D$9,1,'Start here'!$C$11),0))),2))</f>
        <v/>
      </c>
      <c r="L265" s="27"/>
      <c r="N265" s="2" t="n">
        <f aca="false">IF(I265="",0,MAX(0,MIN(N(F265),INDEX('Notes and sources'!$C$12:$D$12,1,'Start here'!$C$11)-(I265-N(F265)))))</f>
        <v>0</v>
      </c>
      <c r="O265" s="2" t="n">
        <f aca="false">IF(I265="",0,N(F265)-N265)</f>
        <v>0</v>
      </c>
      <c r="P265" s="2" t="str">
        <f aca="false">IF(A265="","",IF(AND(MONTH(A265)=4,DAY(A265)&lt;6),13,MOD(MONTH(A265)-4,12)+1))</f>
        <v/>
      </c>
    </row>
    <row r="266" customFormat="false" ht="15" hidden="false" customHeight="false" outlineLevel="0" collapsed="false">
      <c r="A266" s="21"/>
      <c r="B266" s="6"/>
      <c r="C266" s="6"/>
      <c r="D266" s="6"/>
      <c r="E266" s="6"/>
      <c r="F266" s="22"/>
      <c r="G266" s="23"/>
      <c r="H266" s="24" t="str">
        <f aca="false">IF(B266="","",IFERROR(INDEX('Start here'!$C$16:$C$20,MATCH(B266,'Start here'!$B$16:$B$20,0)),"Check vehicle"))</f>
        <v/>
      </c>
      <c r="I266" s="25" t="str">
        <f aca="false">IF(OR(F266="",H266&lt;&gt;"Car or van"),"",SUMIFS($F$6:F266,$H$6:H266,"Car or van"))</f>
        <v/>
      </c>
      <c r="J266" s="24" t="str">
        <f aca="false">IF(F266="","",IF(H266="Car or van",IF(O266=0,TEXT(INDEX('Notes and sources'!$C$6:$D$6,1,'Start here'!$C$11)*100,"0")&amp;"p",IF(N266=0,TEXT(INDEX('Notes and sources'!$C$7:$D$7,1,'Start here'!$C$11)*100,"0")&amp;"p",TEXT(INDEX('Notes and sources'!$C$6:$D$6,1,'Start here'!$C$11)*100,"0")&amp;"p/"&amp;TEXT(INDEX('Notes and sources'!$C$7:$D$7,1,'Start here'!$C$11)*100,"0")&amp;"p")),IF(H266="Motorcycle",TEXT(INDEX('Notes and sources'!$C$8:$D$8,1,'Start here'!$C$11)*100,"0")&amp;"p",IF(H266="Bicycle",TEXT(INDEX('Notes and sources'!$C$9:$D$9,1,'Start here'!$C$11)*100,"0")&amp;"p",""))))</f>
        <v/>
      </c>
      <c r="K266" s="26" t="str">
        <f aca="false">IF(F266="","",ROUND(IF(H266="Car or van",N266*INDEX('Notes and sources'!$C$6:$D$6,1,'Start here'!$C$11)+O266*INDEX('Notes and sources'!$C$7:$D$7,1,'Start here'!$C$11)+N(G266)*N(F266)*INDEX('Notes and sources'!$C$10:$D$10,1,'Start here'!$C$11),IF(H266="Motorcycle",N(F266)*INDEX('Notes and sources'!$C$8:$D$8,1,'Start here'!$C$11),IF(H266="Bicycle",N(F266)*INDEX('Notes and sources'!$C$9:$D$9,1,'Start here'!$C$11),0))),2))</f>
        <v/>
      </c>
      <c r="L266" s="27"/>
      <c r="N266" s="2" t="n">
        <f aca="false">IF(I266="",0,MAX(0,MIN(N(F266),INDEX('Notes and sources'!$C$12:$D$12,1,'Start here'!$C$11)-(I266-N(F266)))))</f>
        <v>0</v>
      </c>
      <c r="O266" s="2" t="n">
        <f aca="false">IF(I266="",0,N(F266)-N266)</f>
        <v>0</v>
      </c>
      <c r="P266" s="2" t="str">
        <f aca="false">IF(A266="","",IF(AND(MONTH(A266)=4,DAY(A266)&lt;6),13,MOD(MONTH(A266)-4,12)+1))</f>
        <v/>
      </c>
    </row>
    <row r="267" customFormat="false" ht="15" hidden="false" customHeight="false" outlineLevel="0" collapsed="false">
      <c r="A267" s="21"/>
      <c r="B267" s="6"/>
      <c r="C267" s="6"/>
      <c r="D267" s="6"/>
      <c r="E267" s="6"/>
      <c r="F267" s="22"/>
      <c r="G267" s="23"/>
      <c r="H267" s="24" t="str">
        <f aca="false">IF(B267="","",IFERROR(INDEX('Start here'!$C$16:$C$20,MATCH(B267,'Start here'!$B$16:$B$20,0)),"Check vehicle"))</f>
        <v/>
      </c>
      <c r="I267" s="25" t="str">
        <f aca="false">IF(OR(F267="",H267&lt;&gt;"Car or van"),"",SUMIFS($F$6:F267,$H$6:H267,"Car or van"))</f>
        <v/>
      </c>
      <c r="J267" s="24" t="str">
        <f aca="false">IF(F267="","",IF(H267="Car or van",IF(O267=0,TEXT(INDEX('Notes and sources'!$C$6:$D$6,1,'Start here'!$C$11)*100,"0")&amp;"p",IF(N267=0,TEXT(INDEX('Notes and sources'!$C$7:$D$7,1,'Start here'!$C$11)*100,"0")&amp;"p",TEXT(INDEX('Notes and sources'!$C$6:$D$6,1,'Start here'!$C$11)*100,"0")&amp;"p/"&amp;TEXT(INDEX('Notes and sources'!$C$7:$D$7,1,'Start here'!$C$11)*100,"0")&amp;"p")),IF(H267="Motorcycle",TEXT(INDEX('Notes and sources'!$C$8:$D$8,1,'Start here'!$C$11)*100,"0")&amp;"p",IF(H267="Bicycle",TEXT(INDEX('Notes and sources'!$C$9:$D$9,1,'Start here'!$C$11)*100,"0")&amp;"p",""))))</f>
        <v/>
      </c>
      <c r="K267" s="26" t="str">
        <f aca="false">IF(F267="","",ROUND(IF(H267="Car or van",N267*INDEX('Notes and sources'!$C$6:$D$6,1,'Start here'!$C$11)+O267*INDEX('Notes and sources'!$C$7:$D$7,1,'Start here'!$C$11)+N(G267)*N(F267)*INDEX('Notes and sources'!$C$10:$D$10,1,'Start here'!$C$11),IF(H267="Motorcycle",N(F267)*INDEX('Notes and sources'!$C$8:$D$8,1,'Start here'!$C$11),IF(H267="Bicycle",N(F267)*INDEX('Notes and sources'!$C$9:$D$9,1,'Start here'!$C$11),0))),2))</f>
        <v/>
      </c>
      <c r="L267" s="27"/>
      <c r="N267" s="2" t="n">
        <f aca="false">IF(I267="",0,MAX(0,MIN(N(F267),INDEX('Notes and sources'!$C$12:$D$12,1,'Start here'!$C$11)-(I267-N(F267)))))</f>
        <v>0</v>
      </c>
      <c r="O267" s="2" t="n">
        <f aca="false">IF(I267="",0,N(F267)-N267)</f>
        <v>0</v>
      </c>
      <c r="P267" s="2" t="str">
        <f aca="false">IF(A267="","",IF(AND(MONTH(A267)=4,DAY(A267)&lt;6),13,MOD(MONTH(A267)-4,12)+1))</f>
        <v/>
      </c>
    </row>
    <row r="268" customFormat="false" ht="15" hidden="false" customHeight="false" outlineLevel="0" collapsed="false">
      <c r="A268" s="21"/>
      <c r="B268" s="6"/>
      <c r="C268" s="6"/>
      <c r="D268" s="6"/>
      <c r="E268" s="6"/>
      <c r="F268" s="22"/>
      <c r="G268" s="23"/>
      <c r="H268" s="24" t="str">
        <f aca="false">IF(B268="","",IFERROR(INDEX('Start here'!$C$16:$C$20,MATCH(B268,'Start here'!$B$16:$B$20,0)),"Check vehicle"))</f>
        <v/>
      </c>
      <c r="I268" s="25" t="str">
        <f aca="false">IF(OR(F268="",H268&lt;&gt;"Car or van"),"",SUMIFS($F$6:F268,$H$6:H268,"Car or van"))</f>
        <v/>
      </c>
      <c r="J268" s="24" t="str">
        <f aca="false">IF(F268="","",IF(H268="Car or van",IF(O268=0,TEXT(INDEX('Notes and sources'!$C$6:$D$6,1,'Start here'!$C$11)*100,"0")&amp;"p",IF(N268=0,TEXT(INDEX('Notes and sources'!$C$7:$D$7,1,'Start here'!$C$11)*100,"0")&amp;"p",TEXT(INDEX('Notes and sources'!$C$6:$D$6,1,'Start here'!$C$11)*100,"0")&amp;"p/"&amp;TEXT(INDEX('Notes and sources'!$C$7:$D$7,1,'Start here'!$C$11)*100,"0")&amp;"p")),IF(H268="Motorcycle",TEXT(INDEX('Notes and sources'!$C$8:$D$8,1,'Start here'!$C$11)*100,"0")&amp;"p",IF(H268="Bicycle",TEXT(INDEX('Notes and sources'!$C$9:$D$9,1,'Start here'!$C$11)*100,"0")&amp;"p",""))))</f>
        <v/>
      </c>
      <c r="K268" s="26" t="str">
        <f aca="false">IF(F268="","",ROUND(IF(H268="Car or van",N268*INDEX('Notes and sources'!$C$6:$D$6,1,'Start here'!$C$11)+O268*INDEX('Notes and sources'!$C$7:$D$7,1,'Start here'!$C$11)+N(G268)*N(F268)*INDEX('Notes and sources'!$C$10:$D$10,1,'Start here'!$C$11),IF(H268="Motorcycle",N(F268)*INDEX('Notes and sources'!$C$8:$D$8,1,'Start here'!$C$11),IF(H268="Bicycle",N(F268)*INDEX('Notes and sources'!$C$9:$D$9,1,'Start here'!$C$11),0))),2))</f>
        <v/>
      </c>
      <c r="L268" s="27"/>
      <c r="N268" s="2" t="n">
        <f aca="false">IF(I268="",0,MAX(0,MIN(N(F268),INDEX('Notes and sources'!$C$12:$D$12,1,'Start here'!$C$11)-(I268-N(F268)))))</f>
        <v>0</v>
      </c>
      <c r="O268" s="2" t="n">
        <f aca="false">IF(I268="",0,N(F268)-N268)</f>
        <v>0</v>
      </c>
      <c r="P268" s="2" t="str">
        <f aca="false">IF(A268="","",IF(AND(MONTH(A268)=4,DAY(A268)&lt;6),13,MOD(MONTH(A268)-4,12)+1))</f>
        <v/>
      </c>
    </row>
    <row r="269" customFormat="false" ht="15" hidden="false" customHeight="false" outlineLevel="0" collapsed="false">
      <c r="A269" s="21"/>
      <c r="B269" s="6"/>
      <c r="C269" s="6"/>
      <c r="D269" s="6"/>
      <c r="E269" s="6"/>
      <c r="F269" s="22"/>
      <c r="G269" s="23"/>
      <c r="H269" s="24" t="str">
        <f aca="false">IF(B269="","",IFERROR(INDEX('Start here'!$C$16:$C$20,MATCH(B269,'Start here'!$B$16:$B$20,0)),"Check vehicle"))</f>
        <v/>
      </c>
      <c r="I269" s="25" t="str">
        <f aca="false">IF(OR(F269="",H269&lt;&gt;"Car or van"),"",SUMIFS($F$6:F269,$H$6:H269,"Car or van"))</f>
        <v/>
      </c>
      <c r="J269" s="24" t="str">
        <f aca="false">IF(F269="","",IF(H269="Car or van",IF(O269=0,TEXT(INDEX('Notes and sources'!$C$6:$D$6,1,'Start here'!$C$11)*100,"0")&amp;"p",IF(N269=0,TEXT(INDEX('Notes and sources'!$C$7:$D$7,1,'Start here'!$C$11)*100,"0")&amp;"p",TEXT(INDEX('Notes and sources'!$C$6:$D$6,1,'Start here'!$C$11)*100,"0")&amp;"p/"&amp;TEXT(INDEX('Notes and sources'!$C$7:$D$7,1,'Start here'!$C$11)*100,"0")&amp;"p")),IF(H269="Motorcycle",TEXT(INDEX('Notes and sources'!$C$8:$D$8,1,'Start here'!$C$11)*100,"0")&amp;"p",IF(H269="Bicycle",TEXT(INDEX('Notes and sources'!$C$9:$D$9,1,'Start here'!$C$11)*100,"0")&amp;"p",""))))</f>
        <v/>
      </c>
      <c r="K269" s="26" t="str">
        <f aca="false">IF(F269="","",ROUND(IF(H269="Car or van",N269*INDEX('Notes and sources'!$C$6:$D$6,1,'Start here'!$C$11)+O269*INDEX('Notes and sources'!$C$7:$D$7,1,'Start here'!$C$11)+N(G269)*N(F269)*INDEX('Notes and sources'!$C$10:$D$10,1,'Start here'!$C$11),IF(H269="Motorcycle",N(F269)*INDEX('Notes and sources'!$C$8:$D$8,1,'Start here'!$C$11),IF(H269="Bicycle",N(F269)*INDEX('Notes and sources'!$C$9:$D$9,1,'Start here'!$C$11),0))),2))</f>
        <v/>
      </c>
      <c r="L269" s="27"/>
      <c r="N269" s="2" t="n">
        <f aca="false">IF(I269="",0,MAX(0,MIN(N(F269),INDEX('Notes and sources'!$C$12:$D$12,1,'Start here'!$C$11)-(I269-N(F269)))))</f>
        <v>0</v>
      </c>
      <c r="O269" s="2" t="n">
        <f aca="false">IF(I269="",0,N(F269)-N269)</f>
        <v>0</v>
      </c>
      <c r="P269" s="2" t="str">
        <f aca="false">IF(A269="","",IF(AND(MONTH(A269)=4,DAY(A269)&lt;6),13,MOD(MONTH(A269)-4,12)+1))</f>
        <v/>
      </c>
    </row>
    <row r="270" customFormat="false" ht="15" hidden="false" customHeight="false" outlineLevel="0" collapsed="false">
      <c r="A270" s="21"/>
      <c r="B270" s="6"/>
      <c r="C270" s="6"/>
      <c r="D270" s="6"/>
      <c r="E270" s="6"/>
      <c r="F270" s="22"/>
      <c r="G270" s="23"/>
      <c r="H270" s="24" t="str">
        <f aca="false">IF(B270="","",IFERROR(INDEX('Start here'!$C$16:$C$20,MATCH(B270,'Start here'!$B$16:$B$20,0)),"Check vehicle"))</f>
        <v/>
      </c>
      <c r="I270" s="25" t="str">
        <f aca="false">IF(OR(F270="",H270&lt;&gt;"Car or van"),"",SUMIFS($F$6:F270,$H$6:H270,"Car or van"))</f>
        <v/>
      </c>
      <c r="J270" s="24" t="str">
        <f aca="false">IF(F270="","",IF(H270="Car or van",IF(O270=0,TEXT(INDEX('Notes and sources'!$C$6:$D$6,1,'Start here'!$C$11)*100,"0")&amp;"p",IF(N270=0,TEXT(INDEX('Notes and sources'!$C$7:$D$7,1,'Start here'!$C$11)*100,"0")&amp;"p",TEXT(INDEX('Notes and sources'!$C$6:$D$6,1,'Start here'!$C$11)*100,"0")&amp;"p/"&amp;TEXT(INDEX('Notes and sources'!$C$7:$D$7,1,'Start here'!$C$11)*100,"0")&amp;"p")),IF(H270="Motorcycle",TEXT(INDEX('Notes and sources'!$C$8:$D$8,1,'Start here'!$C$11)*100,"0")&amp;"p",IF(H270="Bicycle",TEXT(INDEX('Notes and sources'!$C$9:$D$9,1,'Start here'!$C$11)*100,"0")&amp;"p",""))))</f>
        <v/>
      </c>
      <c r="K270" s="26" t="str">
        <f aca="false">IF(F270="","",ROUND(IF(H270="Car or van",N270*INDEX('Notes and sources'!$C$6:$D$6,1,'Start here'!$C$11)+O270*INDEX('Notes and sources'!$C$7:$D$7,1,'Start here'!$C$11)+N(G270)*N(F270)*INDEX('Notes and sources'!$C$10:$D$10,1,'Start here'!$C$11),IF(H270="Motorcycle",N(F270)*INDEX('Notes and sources'!$C$8:$D$8,1,'Start here'!$C$11),IF(H270="Bicycle",N(F270)*INDEX('Notes and sources'!$C$9:$D$9,1,'Start here'!$C$11),0))),2))</f>
        <v/>
      </c>
      <c r="L270" s="27"/>
      <c r="N270" s="2" t="n">
        <f aca="false">IF(I270="",0,MAX(0,MIN(N(F270),INDEX('Notes and sources'!$C$12:$D$12,1,'Start here'!$C$11)-(I270-N(F270)))))</f>
        <v>0</v>
      </c>
      <c r="O270" s="2" t="n">
        <f aca="false">IF(I270="",0,N(F270)-N270)</f>
        <v>0</v>
      </c>
      <c r="P270" s="2" t="str">
        <f aca="false">IF(A270="","",IF(AND(MONTH(A270)=4,DAY(A270)&lt;6),13,MOD(MONTH(A270)-4,12)+1))</f>
        <v/>
      </c>
    </row>
    <row r="271" customFormat="false" ht="15" hidden="false" customHeight="false" outlineLevel="0" collapsed="false">
      <c r="A271" s="21"/>
      <c r="B271" s="6"/>
      <c r="C271" s="6"/>
      <c r="D271" s="6"/>
      <c r="E271" s="6"/>
      <c r="F271" s="22"/>
      <c r="G271" s="23"/>
      <c r="H271" s="24" t="str">
        <f aca="false">IF(B271="","",IFERROR(INDEX('Start here'!$C$16:$C$20,MATCH(B271,'Start here'!$B$16:$B$20,0)),"Check vehicle"))</f>
        <v/>
      </c>
      <c r="I271" s="25" t="str">
        <f aca="false">IF(OR(F271="",H271&lt;&gt;"Car or van"),"",SUMIFS($F$6:F271,$H$6:H271,"Car or van"))</f>
        <v/>
      </c>
      <c r="J271" s="24" t="str">
        <f aca="false">IF(F271="","",IF(H271="Car or van",IF(O271=0,TEXT(INDEX('Notes and sources'!$C$6:$D$6,1,'Start here'!$C$11)*100,"0")&amp;"p",IF(N271=0,TEXT(INDEX('Notes and sources'!$C$7:$D$7,1,'Start here'!$C$11)*100,"0")&amp;"p",TEXT(INDEX('Notes and sources'!$C$6:$D$6,1,'Start here'!$C$11)*100,"0")&amp;"p/"&amp;TEXT(INDEX('Notes and sources'!$C$7:$D$7,1,'Start here'!$C$11)*100,"0")&amp;"p")),IF(H271="Motorcycle",TEXT(INDEX('Notes and sources'!$C$8:$D$8,1,'Start here'!$C$11)*100,"0")&amp;"p",IF(H271="Bicycle",TEXT(INDEX('Notes and sources'!$C$9:$D$9,1,'Start here'!$C$11)*100,"0")&amp;"p",""))))</f>
        <v/>
      </c>
      <c r="K271" s="26" t="str">
        <f aca="false">IF(F271="","",ROUND(IF(H271="Car or van",N271*INDEX('Notes and sources'!$C$6:$D$6,1,'Start here'!$C$11)+O271*INDEX('Notes and sources'!$C$7:$D$7,1,'Start here'!$C$11)+N(G271)*N(F271)*INDEX('Notes and sources'!$C$10:$D$10,1,'Start here'!$C$11),IF(H271="Motorcycle",N(F271)*INDEX('Notes and sources'!$C$8:$D$8,1,'Start here'!$C$11),IF(H271="Bicycle",N(F271)*INDEX('Notes and sources'!$C$9:$D$9,1,'Start here'!$C$11),0))),2))</f>
        <v/>
      </c>
      <c r="L271" s="27"/>
      <c r="N271" s="2" t="n">
        <f aca="false">IF(I271="",0,MAX(0,MIN(N(F271),INDEX('Notes and sources'!$C$12:$D$12,1,'Start here'!$C$11)-(I271-N(F271)))))</f>
        <v>0</v>
      </c>
      <c r="O271" s="2" t="n">
        <f aca="false">IF(I271="",0,N(F271)-N271)</f>
        <v>0</v>
      </c>
      <c r="P271" s="2" t="str">
        <f aca="false">IF(A271="","",IF(AND(MONTH(A271)=4,DAY(A271)&lt;6),13,MOD(MONTH(A271)-4,12)+1))</f>
        <v/>
      </c>
    </row>
    <row r="272" customFormat="false" ht="15" hidden="false" customHeight="false" outlineLevel="0" collapsed="false">
      <c r="A272" s="21"/>
      <c r="B272" s="6"/>
      <c r="C272" s="6"/>
      <c r="D272" s="6"/>
      <c r="E272" s="6"/>
      <c r="F272" s="22"/>
      <c r="G272" s="23"/>
      <c r="H272" s="24" t="str">
        <f aca="false">IF(B272="","",IFERROR(INDEX('Start here'!$C$16:$C$20,MATCH(B272,'Start here'!$B$16:$B$20,0)),"Check vehicle"))</f>
        <v/>
      </c>
      <c r="I272" s="25" t="str">
        <f aca="false">IF(OR(F272="",H272&lt;&gt;"Car or van"),"",SUMIFS($F$6:F272,$H$6:H272,"Car or van"))</f>
        <v/>
      </c>
      <c r="J272" s="24" t="str">
        <f aca="false">IF(F272="","",IF(H272="Car or van",IF(O272=0,TEXT(INDEX('Notes and sources'!$C$6:$D$6,1,'Start here'!$C$11)*100,"0")&amp;"p",IF(N272=0,TEXT(INDEX('Notes and sources'!$C$7:$D$7,1,'Start here'!$C$11)*100,"0")&amp;"p",TEXT(INDEX('Notes and sources'!$C$6:$D$6,1,'Start here'!$C$11)*100,"0")&amp;"p/"&amp;TEXT(INDEX('Notes and sources'!$C$7:$D$7,1,'Start here'!$C$11)*100,"0")&amp;"p")),IF(H272="Motorcycle",TEXT(INDEX('Notes and sources'!$C$8:$D$8,1,'Start here'!$C$11)*100,"0")&amp;"p",IF(H272="Bicycle",TEXT(INDEX('Notes and sources'!$C$9:$D$9,1,'Start here'!$C$11)*100,"0")&amp;"p",""))))</f>
        <v/>
      </c>
      <c r="K272" s="26" t="str">
        <f aca="false">IF(F272="","",ROUND(IF(H272="Car or van",N272*INDEX('Notes and sources'!$C$6:$D$6,1,'Start here'!$C$11)+O272*INDEX('Notes and sources'!$C$7:$D$7,1,'Start here'!$C$11)+N(G272)*N(F272)*INDEX('Notes and sources'!$C$10:$D$10,1,'Start here'!$C$11),IF(H272="Motorcycle",N(F272)*INDEX('Notes and sources'!$C$8:$D$8,1,'Start here'!$C$11),IF(H272="Bicycle",N(F272)*INDEX('Notes and sources'!$C$9:$D$9,1,'Start here'!$C$11),0))),2))</f>
        <v/>
      </c>
      <c r="L272" s="27"/>
      <c r="N272" s="2" t="n">
        <f aca="false">IF(I272="",0,MAX(0,MIN(N(F272),INDEX('Notes and sources'!$C$12:$D$12,1,'Start here'!$C$11)-(I272-N(F272)))))</f>
        <v>0</v>
      </c>
      <c r="O272" s="2" t="n">
        <f aca="false">IF(I272="",0,N(F272)-N272)</f>
        <v>0</v>
      </c>
      <c r="P272" s="2" t="str">
        <f aca="false">IF(A272="","",IF(AND(MONTH(A272)=4,DAY(A272)&lt;6),13,MOD(MONTH(A272)-4,12)+1))</f>
        <v/>
      </c>
    </row>
    <row r="273" customFormat="false" ht="15" hidden="false" customHeight="false" outlineLevel="0" collapsed="false">
      <c r="A273" s="21"/>
      <c r="B273" s="6"/>
      <c r="C273" s="6"/>
      <c r="D273" s="6"/>
      <c r="E273" s="6"/>
      <c r="F273" s="22"/>
      <c r="G273" s="23"/>
      <c r="H273" s="24" t="str">
        <f aca="false">IF(B273="","",IFERROR(INDEX('Start here'!$C$16:$C$20,MATCH(B273,'Start here'!$B$16:$B$20,0)),"Check vehicle"))</f>
        <v/>
      </c>
      <c r="I273" s="25" t="str">
        <f aca="false">IF(OR(F273="",H273&lt;&gt;"Car or van"),"",SUMIFS($F$6:F273,$H$6:H273,"Car or van"))</f>
        <v/>
      </c>
      <c r="J273" s="24" t="str">
        <f aca="false">IF(F273="","",IF(H273="Car or van",IF(O273=0,TEXT(INDEX('Notes and sources'!$C$6:$D$6,1,'Start here'!$C$11)*100,"0")&amp;"p",IF(N273=0,TEXT(INDEX('Notes and sources'!$C$7:$D$7,1,'Start here'!$C$11)*100,"0")&amp;"p",TEXT(INDEX('Notes and sources'!$C$6:$D$6,1,'Start here'!$C$11)*100,"0")&amp;"p/"&amp;TEXT(INDEX('Notes and sources'!$C$7:$D$7,1,'Start here'!$C$11)*100,"0")&amp;"p")),IF(H273="Motorcycle",TEXT(INDEX('Notes and sources'!$C$8:$D$8,1,'Start here'!$C$11)*100,"0")&amp;"p",IF(H273="Bicycle",TEXT(INDEX('Notes and sources'!$C$9:$D$9,1,'Start here'!$C$11)*100,"0")&amp;"p",""))))</f>
        <v/>
      </c>
      <c r="K273" s="26" t="str">
        <f aca="false">IF(F273="","",ROUND(IF(H273="Car or van",N273*INDEX('Notes and sources'!$C$6:$D$6,1,'Start here'!$C$11)+O273*INDEX('Notes and sources'!$C$7:$D$7,1,'Start here'!$C$11)+N(G273)*N(F273)*INDEX('Notes and sources'!$C$10:$D$10,1,'Start here'!$C$11),IF(H273="Motorcycle",N(F273)*INDEX('Notes and sources'!$C$8:$D$8,1,'Start here'!$C$11),IF(H273="Bicycle",N(F273)*INDEX('Notes and sources'!$C$9:$D$9,1,'Start here'!$C$11),0))),2))</f>
        <v/>
      </c>
      <c r="L273" s="27"/>
      <c r="N273" s="2" t="n">
        <f aca="false">IF(I273="",0,MAX(0,MIN(N(F273),INDEX('Notes and sources'!$C$12:$D$12,1,'Start here'!$C$11)-(I273-N(F273)))))</f>
        <v>0</v>
      </c>
      <c r="O273" s="2" t="n">
        <f aca="false">IF(I273="",0,N(F273)-N273)</f>
        <v>0</v>
      </c>
      <c r="P273" s="2" t="str">
        <f aca="false">IF(A273="","",IF(AND(MONTH(A273)=4,DAY(A273)&lt;6),13,MOD(MONTH(A273)-4,12)+1))</f>
        <v/>
      </c>
    </row>
    <row r="274" customFormat="false" ht="15" hidden="false" customHeight="false" outlineLevel="0" collapsed="false">
      <c r="A274" s="21"/>
      <c r="B274" s="6"/>
      <c r="C274" s="6"/>
      <c r="D274" s="6"/>
      <c r="E274" s="6"/>
      <c r="F274" s="22"/>
      <c r="G274" s="23"/>
      <c r="H274" s="24" t="str">
        <f aca="false">IF(B274="","",IFERROR(INDEX('Start here'!$C$16:$C$20,MATCH(B274,'Start here'!$B$16:$B$20,0)),"Check vehicle"))</f>
        <v/>
      </c>
      <c r="I274" s="25" t="str">
        <f aca="false">IF(OR(F274="",H274&lt;&gt;"Car or van"),"",SUMIFS($F$6:F274,$H$6:H274,"Car or van"))</f>
        <v/>
      </c>
      <c r="J274" s="24" t="str">
        <f aca="false">IF(F274="","",IF(H274="Car or van",IF(O274=0,TEXT(INDEX('Notes and sources'!$C$6:$D$6,1,'Start here'!$C$11)*100,"0")&amp;"p",IF(N274=0,TEXT(INDEX('Notes and sources'!$C$7:$D$7,1,'Start here'!$C$11)*100,"0")&amp;"p",TEXT(INDEX('Notes and sources'!$C$6:$D$6,1,'Start here'!$C$11)*100,"0")&amp;"p/"&amp;TEXT(INDEX('Notes and sources'!$C$7:$D$7,1,'Start here'!$C$11)*100,"0")&amp;"p")),IF(H274="Motorcycle",TEXT(INDEX('Notes and sources'!$C$8:$D$8,1,'Start here'!$C$11)*100,"0")&amp;"p",IF(H274="Bicycle",TEXT(INDEX('Notes and sources'!$C$9:$D$9,1,'Start here'!$C$11)*100,"0")&amp;"p",""))))</f>
        <v/>
      </c>
      <c r="K274" s="26" t="str">
        <f aca="false">IF(F274="","",ROUND(IF(H274="Car or van",N274*INDEX('Notes and sources'!$C$6:$D$6,1,'Start here'!$C$11)+O274*INDEX('Notes and sources'!$C$7:$D$7,1,'Start here'!$C$11)+N(G274)*N(F274)*INDEX('Notes and sources'!$C$10:$D$10,1,'Start here'!$C$11),IF(H274="Motorcycle",N(F274)*INDEX('Notes and sources'!$C$8:$D$8,1,'Start here'!$C$11),IF(H274="Bicycle",N(F274)*INDEX('Notes and sources'!$C$9:$D$9,1,'Start here'!$C$11),0))),2))</f>
        <v/>
      </c>
      <c r="L274" s="27"/>
      <c r="N274" s="2" t="n">
        <f aca="false">IF(I274="",0,MAX(0,MIN(N(F274),INDEX('Notes and sources'!$C$12:$D$12,1,'Start here'!$C$11)-(I274-N(F274)))))</f>
        <v>0</v>
      </c>
      <c r="O274" s="2" t="n">
        <f aca="false">IF(I274="",0,N(F274)-N274)</f>
        <v>0</v>
      </c>
      <c r="P274" s="2" t="str">
        <f aca="false">IF(A274="","",IF(AND(MONTH(A274)=4,DAY(A274)&lt;6),13,MOD(MONTH(A274)-4,12)+1))</f>
        <v/>
      </c>
    </row>
    <row r="275" customFormat="false" ht="15" hidden="false" customHeight="false" outlineLevel="0" collapsed="false">
      <c r="A275" s="21"/>
      <c r="B275" s="6"/>
      <c r="C275" s="6"/>
      <c r="D275" s="6"/>
      <c r="E275" s="6"/>
      <c r="F275" s="22"/>
      <c r="G275" s="23"/>
      <c r="H275" s="24" t="str">
        <f aca="false">IF(B275="","",IFERROR(INDEX('Start here'!$C$16:$C$20,MATCH(B275,'Start here'!$B$16:$B$20,0)),"Check vehicle"))</f>
        <v/>
      </c>
      <c r="I275" s="25" t="str">
        <f aca="false">IF(OR(F275="",H275&lt;&gt;"Car or van"),"",SUMIFS($F$6:F275,$H$6:H275,"Car or van"))</f>
        <v/>
      </c>
      <c r="J275" s="24" t="str">
        <f aca="false">IF(F275="","",IF(H275="Car or van",IF(O275=0,TEXT(INDEX('Notes and sources'!$C$6:$D$6,1,'Start here'!$C$11)*100,"0")&amp;"p",IF(N275=0,TEXT(INDEX('Notes and sources'!$C$7:$D$7,1,'Start here'!$C$11)*100,"0")&amp;"p",TEXT(INDEX('Notes and sources'!$C$6:$D$6,1,'Start here'!$C$11)*100,"0")&amp;"p/"&amp;TEXT(INDEX('Notes and sources'!$C$7:$D$7,1,'Start here'!$C$11)*100,"0")&amp;"p")),IF(H275="Motorcycle",TEXT(INDEX('Notes and sources'!$C$8:$D$8,1,'Start here'!$C$11)*100,"0")&amp;"p",IF(H275="Bicycle",TEXT(INDEX('Notes and sources'!$C$9:$D$9,1,'Start here'!$C$11)*100,"0")&amp;"p",""))))</f>
        <v/>
      </c>
      <c r="K275" s="26" t="str">
        <f aca="false">IF(F275="","",ROUND(IF(H275="Car or van",N275*INDEX('Notes and sources'!$C$6:$D$6,1,'Start here'!$C$11)+O275*INDEX('Notes and sources'!$C$7:$D$7,1,'Start here'!$C$11)+N(G275)*N(F275)*INDEX('Notes and sources'!$C$10:$D$10,1,'Start here'!$C$11),IF(H275="Motorcycle",N(F275)*INDEX('Notes and sources'!$C$8:$D$8,1,'Start here'!$C$11),IF(H275="Bicycle",N(F275)*INDEX('Notes and sources'!$C$9:$D$9,1,'Start here'!$C$11),0))),2))</f>
        <v/>
      </c>
      <c r="L275" s="27"/>
      <c r="N275" s="2" t="n">
        <f aca="false">IF(I275="",0,MAX(0,MIN(N(F275),INDEX('Notes and sources'!$C$12:$D$12,1,'Start here'!$C$11)-(I275-N(F275)))))</f>
        <v>0</v>
      </c>
      <c r="O275" s="2" t="n">
        <f aca="false">IF(I275="",0,N(F275)-N275)</f>
        <v>0</v>
      </c>
      <c r="P275" s="2" t="str">
        <f aca="false">IF(A275="","",IF(AND(MONTH(A275)=4,DAY(A275)&lt;6),13,MOD(MONTH(A275)-4,12)+1))</f>
        <v/>
      </c>
    </row>
    <row r="276" customFormat="false" ht="15" hidden="false" customHeight="false" outlineLevel="0" collapsed="false">
      <c r="A276" s="21"/>
      <c r="B276" s="6"/>
      <c r="C276" s="6"/>
      <c r="D276" s="6"/>
      <c r="E276" s="6"/>
      <c r="F276" s="22"/>
      <c r="G276" s="23"/>
      <c r="H276" s="24" t="str">
        <f aca="false">IF(B276="","",IFERROR(INDEX('Start here'!$C$16:$C$20,MATCH(B276,'Start here'!$B$16:$B$20,0)),"Check vehicle"))</f>
        <v/>
      </c>
      <c r="I276" s="25" t="str">
        <f aca="false">IF(OR(F276="",H276&lt;&gt;"Car or van"),"",SUMIFS($F$6:F276,$H$6:H276,"Car or van"))</f>
        <v/>
      </c>
      <c r="J276" s="24" t="str">
        <f aca="false">IF(F276="","",IF(H276="Car or van",IF(O276=0,TEXT(INDEX('Notes and sources'!$C$6:$D$6,1,'Start here'!$C$11)*100,"0")&amp;"p",IF(N276=0,TEXT(INDEX('Notes and sources'!$C$7:$D$7,1,'Start here'!$C$11)*100,"0")&amp;"p",TEXT(INDEX('Notes and sources'!$C$6:$D$6,1,'Start here'!$C$11)*100,"0")&amp;"p/"&amp;TEXT(INDEX('Notes and sources'!$C$7:$D$7,1,'Start here'!$C$11)*100,"0")&amp;"p")),IF(H276="Motorcycle",TEXT(INDEX('Notes and sources'!$C$8:$D$8,1,'Start here'!$C$11)*100,"0")&amp;"p",IF(H276="Bicycle",TEXT(INDEX('Notes and sources'!$C$9:$D$9,1,'Start here'!$C$11)*100,"0")&amp;"p",""))))</f>
        <v/>
      </c>
      <c r="K276" s="26" t="str">
        <f aca="false">IF(F276="","",ROUND(IF(H276="Car or van",N276*INDEX('Notes and sources'!$C$6:$D$6,1,'Start here'!$C$11)+O276*INDEX('Notes and sources'!$C$7:$D$7,1,'Start here'!$C$11)+N(G276)*N(F276)*INDEX('Notes and sources'!$C$10:$D$10,1,'Start here'!$C$11),IF(H276="Motorcycle",N(F276)*INDEX('Notes and sources'!$C$8:$D$8,1,'Start here'!$C$11),IF(H276="Bicycle",N(F276)*INDEX('Notes and sources'!$C$9:$D$9,1,'Start here'!$C$11),0))),2))</f>
        <v/>
      </c>
      <c r="L276" s="27"/>
      <c r="N276" s="2" t="n">
        <f aca="false">IF(I276="",0,MAX(0,MIN(N(F276),INDEX('Notes and sources'!$C$12:$D$12,1,'Start here'!$C$11)-(I276-N(F276)))))</f>
        <v>0</v>
      </c>
      <c r="O276" s="2" t="n">
        <f aca="false">IF(I276="",0,N(F276)-N276)</f>
        <v>0</v>
      </c>
      <c r="P276" s="2" t="str">
        <f aca="false">IF(A276="","",IF(AND(MONTH(A276)=4,DAY(A276)&lt;6),13,MOD(MONTH(A276)-4,12)+1))</f>
        <v/>
      </c>
    </row>
    <row r="277" customFormat="false" ht="15" hidden="false" customHeight="false" outlineLevel="0" collapsed="false">
      <c r="A277" s="21"/>
      <c r="B277" s="6"/>
      <c r="C277" s="6"/>
      <c r="D277" s="6"/>
      <c r="E277" s="6"/>
      <c r="F277" s="22"/>
      <c r="G277" s="23"/>
      <c r="H277" s="24" t="str">
        <f aca="false">IF(B277="","",IFERROR(INDEX('Start here'!$C$16:$C$20,MATCH(B277,'Start here'!$B$16:$B$20,0)),"Check vehicle"))</f>
        <v/>
      </c>
      <c r="I277" s="25" t="str">
        <f aca="false">IF(OR(F277="",H277&lt;&gt;"Car or van"),"",SUMIFS($F$6:F277,$H$6:H277,"Car or van"))</f>
        <v/>
      </c>
      <c r="J277" s="24" t="str">
        <f aca="false">IF(F277="","",IF(H277="Car or van",IF(O277=0,TEXT(INDEX('Notes and sources'!$C$6:$D$6,1,'Start here'!$C$11)*100,"0")&amp;"p",IF(N277=0,TEXT(INDEX('Notes and sources'!$C$7:$D$7,1,'Start here'!$C$11)*100,"0")&amp;"p",TEXT(INDEX('Notes and sources'!$C$6:$D$6,1,'Start here'!$C$11)*100,"0")&amp;"p/"&amp;TEXT(INDEX('Notes and sources'!$C$7:$D$7,1,'Start here'!$C$11)*100,"0")&amp;"p")),IF(H277="Motorcycle",TEXT(INDEX('Notes and sources'!$C$8:$D$8,1,'Start here'!$C$11)*100,"0")&amp;"p",IF(H277="Bicycle",TEXT(INDEX('Notes and sources'!$C$9:$D$9,1,'Start here'!$C$11)*100,"0")&amp;"p",""))))</f>
        <v/>
      </c>
      <c r="K277" s="26" t="str">
        <f aca="false">IF(F277="","",ROUND(IF(H277="Car or van",N277*INDEX('Notes and sources'!$C$6:$D$6,1,'Start here'!$C$11)+O277*INDEX('Notes and sources'!$C$7:$D$7,1,'Start here'!$C$11)+N(G277)*N(F277)*INDEX('Notes and sources'!$C$10:$D$10,1,'Start here'!$C$11),IF(H277="Motorcycle",N(F277)*INDEX('Notes and sources'!$C$8:$D$8,1,'Start here'!$C$11),IF(H277="Bicycle",N(F277)*INDEX('Notes and sources'!$C$9:$D$9,1,'Start here'!$C$11),0))),2))</f>
        <v/>
      </c>
      <c r="L277" s="27"/>
      <c r="N277" s="2" t="n">
        <f aca="false">IF(I277="",0,MAX(0,MIN(N(F277),INDEX('Notes and sources'!$C$12:$D$12,1,'Start here'!$C$11)-(I277-N(F277)))))</f>
        <v>0</v>
      </c>
      <c r="O277" s="2" t="n">
        <f aca="false">IF(I277="",0,N(F277)-N277)</f>
        <v>0</v>
      </c>
      <c r="P277" s="2" t="str">
        <f aca="false">IF(A277="","",IF(AND(MONTH(A277)=4,DAY(A277)&lt;6),13,MOD(MONTH(A277)-4,12)+1))</f>
        <v/>
      </c>
    </row>
    <row r="278" customFormat="false" ht="15" hidden="false" customHeight="false" outlineLevel="0" collapsed="false">
      <c r="A278" s="21"/>
      <c r="B278" s="6"/>
      <c r="C278" s="6"/>
      <c r="D278" s="6"/>
      <c r="E278" s="6"/>
      <c r="F278" s="22"/>
      <c r="G278" s="23"/>
      <c r="H278" s="24" t="str">
        <f aca="false">IF(B278="","",IFERROR(INDEX('Start here'!$C$16:$C$20,MATCH(B278,'Start here'!$B$16:$B$20,0)),"Check vehicle"))</f>
        <v/>
      </c>
      <c r="I278" s="25" t="str">
        <f aca="false">IF(OR(F278="",H278&lt;&gt;"Car or van"),"",SUMIFS($F$6:F278,$H$6:H278,"Car or van"))</f>
        <v/>
      </c>
      <c r="J278" s="24" t="str">
        <f aca="false">IF(F278="","",IF(H278="Car or van",IF(O278=0,TEXT(INDEX('Notes and sources'!$C$6:$D$6,1,'Start here'!$C$11)*100,"0")&amp;"p",IF(N278=0,TEXT(INDEX('Notes and sources'!$C$7:$D$7,1,'Start here'!$C$11)*100,"0")&amp;"p",TEXT(INDEX('Notes and sources'!$C$6:$D$6,1,'Start here'!$C$11)*100,"0")&amp;"p/"&amp;TEXT(INDEX('Notes and sources'!$C$7:$D$7,1,'Start here'!$C$11)*100,"0")&amp;"p")),IF(H278="Motorcycle",TEXT(INDEX('Notes and sources'!$C$8:$D$8,1,'Start here'!$C$11)*100,"0")&amp;"p",IF(H278="Bicycle",TEXT(INDEX('Notes and sources'!$C$9:$D$9,1,'Start here'!$C$11)*100,"0")&amp;"p",""))))</f>
        <v/>
      </c>
      <c r="K278" s="26" t="str">
        <f aca="false">IF(F278="","",ROUND(IF(H278="Car or van",N278*INDEX('Notes and sources'!$C$6:$D$6,1,'Start here'!$C$11)+O278*INDEX('Notes and sources'!$C$7:$D$7,1,'Start here'!$C$11)+N(G278)*N(F278)*INDEX('Notes and sources'!$C$10:$D$10,1,'Start here'!$C$11),IF(H278="Motorcycle",N(F278)*INDEX('Notes and sources'!$C$8:$D$8,1,'Start here'!$C$11),IF(H278="Bicycle",N(F278)*INDEX('Notes and sources'!$C$9:$D$9,1,'Start here'!$C$11),0))),2))</f>
        <v/>
      </c>
      <c r="L278" s="27"/>
      <c r="N278" s="2" t="n">
        <f aca="false">IF(I278="",0,MAX(0,MIN(N(F278),INDEX('Notes and sources'!$C$12:$D$12,1,'Start here'!$C$11)-(I278-N(F278)))))</f>
        <v>0</v>
      </c>
      <c r="O278" s="2" t="n">
        <f aca="false">IF(I278="",0,N(F278)-N278)</f>
        <v>0</v>
      </c>
      <c r="P278" s="2" t="str">
        <f aca="false">IF(A278="","",IF(AND(MONTH(A278)=4,DAY(A278)&lt;6),13,MOD(MONTH(A278)-4,12)+1))</f>
        <v/>
      </c>
    </row>
    <row r="279" customFormat="false" ht="15" hidden="false" customHeight="false" outlineLevel="0" collapsed="false">
      <c r="A279" s="21"/>
      <c r="B279" s="6"/>
      <c r="C279" s="6"/>
      <c r="D279" s="6"/>
      <c r="E279" s="6"/>
      <c r="F279" s="22"/>
      <c r="G279" s="23"/>
      <c r="H279" s="24" t="str">
        <f aca="false">IF(B279="","",IFERROR(INDEX('Start here'!$C$16:$C$20,MATCH(B279,'Start here'!$B$16:$B$20,0)),"Check vehicle"))</f>
        <v/>
      </c>
      <c r="I279" s="25" t="str">
        <f aca="false">IF(OR(F279="",H279&lt;&gt;"Car or van"),"",SUMIFS($F$6:F279,$H$6:H279,"Car or van"))</f>
        <v/>
      </c>
      <c r="J279" s="24" t="str">
        <f aca="false">IF(F279="","",IF(H279="Car or van",IF(O279=0,TEXT(INDEX('Notes and sources'!$C$6:$D$6,1,'Start here'!$C$11)*100,"0")&amp;"p",IF(N279=0,TEXT(INDEX('Notes and sources'!$C$7:$D$7,1,'Start here'!$C$11)*100,"0")&amp;"p",TEXT(INDEX('Notes and sources'!$C$6:$D$6,1,'Start here'!$C$11)*100,"0")&amp;"p/"&amp;TEXT(INDEX('Notes and sources'!$C$7:$D$7,1,'Start here'!$C$11)*100,"0")&amp;"p")),IF(H279="Motorcycle",TEXT(INDEX('Notes and sources'!$C$8:$D$8,1,'Start here'!$C$11)*100,"0")&amp;"p",IF(H279="Bicycle",TEXT(INDEX('Notes and sources'!$C$9:$D$9,1,'Start here'!$C$11)*100,"0")&amp;"p",""))))</f>
        <v/>
      </c>
      <c r="K279" s="26" t="str">
        <f aca="false">IF(F279="","",ROUND(IF(H279="Car or van",N279*INDEX('Notes and sources'!$C$6:$D$6,1,'Start here'!$C$11)+O279*INDEX('Notes and sources'!$C$7:$D$7,1,'Start here'!$C$11)+N(G279)*N(F279)*INDEX('Notes and sources'!$C$10:$D$10,1,'Start here'!$C$11),IF(H279="Motorcycle",N(F279)*INDEX('Notes and sources'!$C$8:$D$8,1,'Start here'!$C$11),IF(H279="Bicycle",N(F279)*INDEX('Notes and sources'!$C$9:$D$9,1,'Start here'!$C$11),0))),2))</f>
        <v/>
      </c>
      <c r="L279" s="27"/>
      <c r="N279" s="2" t="n">
        <f aca="false">IF(I279="",0,MAX(0,MIN(N(F279),INDEX('Notes and sources'!$C$12:$D$12,1,'Start here'!$C$11)-(I279-N(F279)))))</f>
        <v>0</v>
      </c>
      <c r="O279" s="2" t="n">
        <f aca="false">IF(I279="",0,N(F279)-N279)</f>
        <v>0</v>
      </c>
      <c r="P279" s="2" t="str">
        <f aca="false">IF(A279="","",IF(AND(MONTH(A279)=4,DAY(A279)&lt;6),13,MOD(MONTH(A279)-4,12)+1))</f>
        <v/>
      </c>
    </row>
    <row r="280" customFormat="false" ht="15" hidden="false" customHeight="false" outlineLevel="0" collapsed="false">
      <c r="A280" s="21"/>
      <c r="B280" s="6"/>
      <c r="C280" s="6"/>
      <c r="D280" s="6"/>
      <c r="E280" s="6"/>
      <c r="F280" s="22"/>
      <c r="G280" s="23"/>
      <c r="H280" s="24" t="str">
        <f aca="false">IF(B280="","",IFERROR(INDEX('Start here'!$C$16:$C$20,MATCH(B280,'Start here'!$B$16:$B$20,0)),"Check vehicle"))</f>
        <v/>
      </c>
      <c r="I280" s="25" t="str">
        <f aca="false">IF(OR(F280="",H280&lt;&gt;"Car or van"),"",SUMIFS($F$6:F280,$H$6:H280,"Car or van"))</f>
        <v/>
      </c>
      <c r="J280" s="24" t="str">
        <f aca="false">IF(F280="","",IF(H280="Car or van",IF(O280=0,TEXT(INDEX('Notes and sources'!$C$6:$D$6,1,'Start here'!$C$11)*100,"0")&amp;"p",IF(N280=0,TEXT(INDEX('Notes and sources'!$C$7:$D$7,1,'Start here'!$C$11)*100,"0")&amp;"p",TEXT(INDEX('Notes and sources'!$C$6:$D$6,1,'Start here'!$C$11)*100,"0")&amp;"p/"&amp;TEXT(INDEX('Notes and sources'!$C$7:$D$7,1,'Start here'!$C$11)*100,"0")&amp;"p")),IF(H280="Motorcycle",TEXT(INDEX('Notes and sources'!$C$8:$D$8,1,'Start here'!$C$11)*100,"0")&amp;"p",IF(H280="Bicycle",TEXT(INDEX('Notes and sources'!$C$9:$D$9,1,'Start here'!$C$11)*100,"0")&amp;"p",""))))</f>
        <v/>
      </c>
      <c r="K280" s="26" t="str">
        <f aca="false">IF(F280="","",ROUND(IF(H280="Car or van",N280*INDEX('Notes and sources'!$C$6:$D$6,1,'Start here'!$C$11)+O280*INDEX('Notes and sources'!$C$7:$D$7,1,'Start here'!$C$11)+N(G280)*N(F280)*INDEX('Notes and sources'!$C$10:$D$10,1,'Start here'!$C$11),IF(H280="Motorcycle",N(F280)*INDEX('Notes and sources'!$C$8:$D$8,1,'Start here'!$C$11),IF(H280="Bicycle",N(F280)*INDEX('Notes and sources'!$C$9:$D$9,1,'Start here'!$C$11),0))),2))</f>
        <v/>
      </c>
      <c r="L280" s="27"/>
      <c r="N280" s="2" t="n">
        <f aca="false">IF(I280="",0,MAX(0,MIN(N(F280),INDEX('Notes and sources'!$C$12:$D$12,1,'Start here'!$C$11)-(I280-N(F280)))))</f>
        <v>0</v>
      </c>
      <c r="O280" s="2" t="n">
        <f aca="false">IF(I280="",0,N(F280)-N280)</f>
        <v>0</v>
      </c>
      <c r="P280" s="2" t="str">
        <f aca="false">IF(A280="","",IF(AND(MONTH(A280)=4,DAY(A280)&lt;6),13,MOD(MONTH(A280)-4,12)+1))</f>
        <v/>
      </c>
    </row>
    <row r="281" customFormat="false" ht="15" hidden="false" customHeight="false" outlineLevel="0" collapsed="false">
      <c r="A281" s="21"/>
      <c r="B281" s="6"/>
      <c r="C281" s="6"/>
      <c r="D281" s="6"/>
      <c r="E281" s="6"/>
      <c r="F281" s="22"/>
      <c r="G281" s="23"/>
      <c r="H281" s="24" t="str">
        <f aca="false">IF(B281="","",IFERROR(INDEX('Start here'!$C$16:$C$20,MATCH(B281,'Start here'!$B$16:$B$20,0)),"Check vehicle"))</f>
        <v/>
      </c>
      <c r="I281" s="25" t="str">
        <f aca="false">IF(OR(F281="",H281&lt;&gt;"Car or van"),"",SUMIFS($F$6:F281,$H$6:H281,"Car or van"))</f>
        <v/>
      </c>
      <c r="J281" s="24" t="str">
        <f aca="false">IF(F281="","",IF(H281="Car or van",IF(O281=0,TEXT(INDEX('Notes and sources'!$C$6:$D$6,1,'Start here'!$C$11)*100,"0")&amp;"p",IF(N281=0,TEXT(INDEX('Notes and sources'!$C$7:$D$7,1,'Start here'!$C$11)*100,"0")&amp;"p",TEXT(INDEX('Notes and sources'!$C$6:$D$6,1,'Start here'!$C$11)*100,"0")&amp;"p/"&amp;TEXT(INDEX('Notes and sources'!$C$7:$D$7,1,'Start here'!$C$11)*100,"0")&amp;"p")),IF(H281="Motorcycle",TEXT(INDEX('Notes and sources'!$C$8:$D$8,1,'Start here'!$C$11)*100,"0")&amp;"p",IF(H281="Bicycle",TEXT(INDEX('Notes and sources'!$C$9:$D$9,1,'Start here'!$C$11)*100,"0")&amp;"p",""))))</f>
        <v/>
      </c>
      <c r="K281" s="26" t="str">
        <f aca="false">IF(F281="","",ROUND(IF(H281="Car or van",N281*INDEX('Notes and sources'!$C$6:$D$6,1,'Start here'!$C$11)+O281*INDEX('Notes and sources'!$C$7:$D$7,1,'Start here'!$C$11)+N(G281)*N(F281)*INDEX('Notes and sources'!$C$10:$D$10,1,'Start here'!$C$11),IF(H281="Motorcycle",N(F281)*INDEX('Notes and sources'!$C$8:$D$8,1,'Start here'!$C$11),IF(H281="Bicycle",N(F281)*INDEX('Notes and sources'!$C$9:$D$9,1,'Start here'!$C$11),0))),2))</f>
        <v/>
      </c>
      <c r="L281" s="27"/>
      <c r="N281" s="2" t="n">
        <f aca="false">IF(I281="",0,MAX(0,MIN(N(F281),INDEX('Notes and sources'!$C$12:$D$12,1,'Start here'!$C$11)-(I281-N(F281)))))</f>
        <v>0</v>
      </c>
      <c r="O281" s="2" t="n">
        <f aca="false">IF(I281="",0,N(F281)-N281)</f>
        <v>0</v>
      </c>
      <c r="P281" s="2" t="str">
        <f aca="false">IF(A281="","",IF(AND(MONTH(A281)=4,DAY(A281)&lt;6),13,MOD(MONTH(A281)-4,12)+1))</f>
        <v/>
      </c>
    </row>
    <row r="282" customFormat="false" ht="15" hidden="false" customHeight="false" outlineLevel="0" collapsed="false">
      <c r="A282" s="21"/>
      <c r="B282" s="6"/>
      <c r="C282" s="6"/>
      <c r="D282" s="6"/>
      <c r="E282" s="6"/>
      <c r="F282" s="22"/>
      <c r="G282" s="23"/>
      <c r="H282" s="24" t="str">
        <f aca="false">IF(B282="","",IFERROR(INDEX('Start here'!$C$16:$C$20,MATCH(B282,'Start here'!$B$16:$B$20,0)),"Check vehicle"))</f>
        <v/>
      </c>
      <c r="I282" s="25" t="str">
        <f aca="false">IF(OR(F282="",H282&lt;&gt;"Car or van"),"",SUMIFS($F$6:F282,$H$6:H282,"Car or van"))</f>
        <v/>
      </c>
      <c r="J282" s="24" t="str">
        <f aca="false">IF(F282="","",IF(H282="Car or van",IF(O282=0,TEXT(INDEX('Notes and sources'!$C$6:$D$6,1,'Start here'!$C$11)*100,"0")&amp;"p",IF(N282=0,TEXT(INDEX('Notes and sources'!$C$7:$D$7,1,'Start here'!$C$11)*100,"0")&amp;"p",TEXT(INDEX('Notes and sources'!$C$6:$D$6,1,'Start here'!$C$11)*100,"0")&amp;"p/"&amp;TEXT(INDEX('Notes and sources'!$C$7:$D$7,1,'Start here'!$C$11)*100,"0")&amp;"p")),IF(H282="Motorcycle",TEXT(INDEX('Notes and sources'!$C$8:$D$8,1,'Start here'!$C$11)*100,"0")&amp;"p",IF(H282="Bicycle",TEXT(INDEX('Notes and sources'!$C$9:$D$9,1,'Start here'!$C$11)*100,"0")&amp;"p",""))))</f>
        <v/>
      </c>
      <c r="K282" s="26" t="str">
        <f aca="false">IF(F282="","",ROUND(IF(H282="Car or van",N282*INDEX('Notes and sources'!$C$6:$D$6,1,'Start here'!$C$11)+O282*INDEX('Notes and sources'!$C$7:$D$7,1,'Start here'!$C$11)+N(G282)*N(F282)*INDEX('Notes and sources'!$C$10:$D$10,1,'Start here'!$C$11),IF(H282="Motorcycle",N(F282)*INDEX('Notes and sources'!$C$8:$D$8,1,'Start here'!$C$11),IF(H282="Bicycle",N(F282)*INDEX('Notes and sources'!$C$9:$D$9,1,'Start here'!$C$11),0))),2))</f>
        <v/>
      </c>
      <c r="L282" s="27"/>
      <c r="N282" s="2" t="n">
        <f aca="false">IF(I282="",0,MAX(0,MIN(N(F282),INDEX('Notes and sources'!$C$12:$D$12,1,'Start here'!$C$11)-(I282-N(F282)))))</f>
        <v>0</v>
      </c>
      <c r="O282" s="2" t="n">
        <f aca="false">IF(I282="",0,N(F282)-N282)</f>
        <v>0</v>
      </c>
      <c r="P282" s="2" t="str">
        <f aca="false">IF(A282="","",IF(AND(MONTH(A282)=4,DAY(A282)&lt;6),13,MOD(MONTH(A282)-4,12)+1))</f>
        <v/>
      </c>
    </row>
    <row r="283" customFormat="false" ht="15" hidden="false" customHeight="false" outlineLevel="0" collapsed="false">
      <c r="A283" s="21"/>
      <c r="B283" s="6"/>
      <c r="C283" s="6"/>
      <c r="D283" s="6"/>
      <c r="E283" s="6"/>
      <c r="F283" s="22"/>
      <c r="G283" s="23"/>
      <c r="H283" s="24" t="str">
        <f aca="false">IF(B283="","",IFERROR(INDEX('Start here'!$C$16:$C$20,MATCH(B283,'Start here'!$B$16:$B$20,0)),"Check vehicle"))</f>
        <v/>
      </c>
      <c r="I283" s="25" t="str">
        <f aca="false">IF(OR(F283="",H283&lt;&gt;"Car or van"),"",SUMIFS($F$6:F283,$H$6:H283,"Car or van"))</f>
        <v/>
      </c>
      <c r="J283" s="24" t="str">
        <f aca="false">IF(F283="","",IF(H283="Car or van",IF(O283=0,TEXT(INDEX('Notes and sources'!$C$6:$D$6,1,'Start here'!$C$11)*100,"0")&amp;"p",IF(N283=0,TEXT(INDEX('Notes and sources'!$C$7:$D$7,1,'Start here'!$C$11)*100,"0")&amp;"p",TEXT(INDEX('Notes and sources'!$C$6:$D$6,1,'Start here'!$C$11)*100,"0")&amp;"p/"&amp;TEXT(INDEX('Notes and sources'!$C$7:$D$7,1,'Start here'!$C$11)*100,"0")&amp;"p")),IF(H283="Motorcycle",TEXT(INDEX('Notes and sources'!$C$8:$D$8,1,'Start here'!$C$11)*100,"0")&amp;"p",IF(H283="Bicycle",TEXT(INDEX('Notes and sources'!$C$9:$D$9,1,'Start here'!$C$11)*100,"0")&amp;"p",""))))</f>
        <v/>
      </c>
      <c r="K283" s="26" t="str">
        <f aca="false">IF(F283="","",ROUND(IF(H283="Car or van",N283*INDEX('Notes and sources'!$C$6:$D$6,1,'Start here'!$C$11)+O283*INDEX('Notes and sources'!$C$7:$D$7,1,'Start here'!$C$11)+N(G283)*N(F283)*INDEX('Notes and sources'!$C$10:$D$10,1,'Start here'!$C$11),IF(H283="Motorcycle",N(F283)*INDEX('Notes and sources'!$C$8:$D$8,1,'Start here'!$C$11),IF(H283="Bicycle",N(F283)*INDEX('Notes and sources'!$C$9:$D$9,1,'Start here'!$C$11),0))),2))</f>
        <v/>
      </c>
      <c r="L283" s="27"/>
      <c r="N283" s="2" t="n">
        <f aca="false">IF(I283="",0,MAX(0,MIN(N(F283),INDEX('Notes and sources'!$C$12:$D$12,1,'Start here'!$C$11)-(I283-N(F283)))))</f>
        <v>0</v>
      </c>
      <c r="O283" s="2" t="n">
        <f aca="false">IF(I283="",0,N(F283)-N283)</f>
        <v>0</v>
      </c>
      <c r="P283" s="2" t="str">
        <f aca="false">IF(A283="","",IF(AND(MONTH(A283)=4,DAY(A283)&lt;6),13,MOD(MONTH(A283)-4,12)+1))</f>
        <v/>
      </c>
    </row>
    <row r="284" customFormat="false" ht="15" hidden="false" customHeight="false" outlineLevel="0" collapsed="false">
      <c r="A284" s="21"/>
      <c r="B284" s="6"/>
      <c r="C284" s="6"/>
      <c r="D284" s="6"/>
      <c r="E284" s="6"/>
      <c r="F284" s="22"/>
      <c r="G284" s="23"/>
      <c r="H284" s="24" t="str">
        <f aca="false">IF(B284="","",IFERROR(INDEX('Start here'!$C$16:$C$20,MATCH(B284,'Start here'!$B$16:$B$20,0)),"Check vehicle"))</f>
        <v/>
      </c>
      <c r="I284" s="25" t="str">
        <f aca="false">IF(OR(F284="",H284&lt;&gt;"Car or van"),"",SUMIFS($F$6:F284,$H$6:H284,"Car or van"))</f>
        <v/>
      </c>
      <c r="J284" s="24" t="str">
        <f aca="false">IF(F284="","",IF(H284="Car or van",IF(O284=0,TEXT(INDEX('Notes and sources'!$C$6:$D$6,1,'Start here'!$C$11)*100,"0")&amp;"p",IF(N284=0,TEXT(INDEX('Notes and sources'!$C$7:$D$7,1,'Start here'!$C$11)*100,"0")&amp;"p",TEXT(INDEX('Notes and sources'!$C$6:$D$6,1,'Start here'!$C$11)*100,"0")&amp;"p/"&amp;TEXT(INDEX('Notes and sources'!$C$7:$D$7,1,'Start here'!$C$11)*100,"0")&amp;"p")),IF(H284="Motorcycle",TEXT(INDEX('Notes and sources'!$C$8:$D$8,1,'Start here'!$C$11)*100,"0")&amp;"p",IF(H284="Bicycle",TEXT(INDEX('Notes and sources'!$C$9:$D$9,1,'Start here'!$C$11)*100,"0")&amp;"p",""))))</f>
        <v/>
      </c>
      <c r="K284" s="26" t="str">
        <f aca="false">IF(F284="","",ROUND(IF(H284="Car or van",N284*INDEX('Notes and sources'!$C$6:$D$6,1,'Start here'!$C$11)+O284*INDEX('Notes and sources'!$C$7:$D$7,1,'Start here'!$C$11)+N(G284)*N(F284)*INDEX('Notes and sources'!$C$10:$D$10,1,'Start here'!$C$11),IF(H284="Motorcycle",N(F284)*INDEX('Notes and sources'!$C$8:$D$8,1,'Start here'!$C$11),IF(H284="Bicycle",N(F284)*INDEX('Notes and sources'!$C$9:$D$9,1,'Start here'!$C$11),0))),2))</f>
        <v/>
      </c>
      <c r="L284" s="27"/>
      <c r="N284" s="2" t="n">
        <f aca="false">IF(I284="",0,MAX(0,MIN(N(F284),INDEX('Notes and sources'!$C$12:$D$12,1,'Start here'!$C$11)-(I284-N(F284)))))</f>
        <v>0</v>
      </c>
      <c r="O284" s="2" t="n">
        <f aca="false">IF(I284="",0,N(F284)-N284)</f>
        <v>0</v>
      </c>
      <c r="P284" s="2" t="str">
        <f aca="false">IF(A284="","",IF(AND(MONTH(A284)=4,DAY(A284)&lt;6),13,MOD(MONTH(A284)-4,12)+1))</f>
        <v/>
      </c>
    </row>
    <row r="285" customFormat="false" ht="15" hidden="false" customHeight="false" outlineLevel="0" collapsed="false">
      <c r="A285" s="21"/>
      <c r="B285" s="6"/>
      <c r="C285" s="6"/>
      <c r="D285" s="6"/>
      <c r="E285" s="6"/>
      <c r="F285" s="22"/>
      <c r="G285" s="23"/>
      <c r="H285" s="24" t="str">
        <f aca="false">IF(B285="","",IFERROR(INDEX('Start here'!$C$16:$C$20,MATCH(B285,'Start here'!$B$16:$B$20,0)),"Check vehicle"))</f>
        <v/>
      </c>
      <c r="I285" s="25" t="str">
        <f aca="false">IF(OR(F285="",H285&lt;&gt;"Car or van"),"",SUMIFS($F$6:F285,$H$6:H285,"Car or van"))</f>
        <v/>
      </c>
      <c r="J285" s="24" t="str">
        <f aca="false">IF(F285="","",IF(H285="Car or van",IF(O285=0,TEXT(INDEX('Notes and sources'!$C$6:$D$6,1,'Start here'!$C$11)*100,"0")&amp;"p",IF(N285=0,TEXT(INDEX('Notes and sources'!$C$7:$D$7,1,'Start here'!$C$11)*100,"0")&amp;"p",TEXT(INDEX('Notes and sources'!$C$6:$D$6,1,'Start here'!$C$11)*100,"0")&amp;"p/"&amp;TEXT(INDEX('Notes and sources'!$C$7:$D$7,1,'Start here'!$C$11)*100,"0")&amp;"p")),IF(H285="Motorcycle",TEXT(INDEX('Notes and sources'!$C$8:$D$8,1,'Start here'!$C$11)*100,"0")&amp;"p",IF(H285="Bicycle",TEXT(INDEX('Notes and sources'!$C$9:$D$9,1,'Start here'!$C$11)*100,"0")&amp;"p",""))))</f>
        <v/>
      </c>
      <c r="K285" s="26" t="str">
        <f aca="false">IF(F285="","",ROUND(IF(H285="Car or van",N285*INDEX('Notes and sources'!$C$6:$D$6,1,'Start here'!$C$11)+O285*INDEX('Notes and sources'!$C$7:$D$7,1,'Start here'!$C$11)+N(G285)*N(F285)*INDEX('Notes and sources'!$C$10:$D$10,1,'Start here'!$C$11),IF(H285="Motorcycle",N(F285)*INDEX('Notes and sources'!$C$8:$D$8,1,'Start here'!$C$11),IF(H285="Bicycle",N(F285)*INDEX('Notes and sources'!$C$9:$D$9,1,'Start here'!$C$11),0))),2))</f>
        <v/>
      </c>
      <c r="L285" s="27"/>
      <c r="N285" s="2" t="n">
        <f aca="false">IF(I285="",0,MAX(0,MIN(N(F285),INDEX('Notes and sources'!$C$12:$D$12,1,'Start here'!$C$11)-(I285-N(F285)))))</f>
        <v>0</v>
      </c>
      <c r="O285" s="2" t="n">
        <f aca="false">IF(I285="",0,N(F285)-N285)</f>
        <v>0</v>
      </c>
      <c r="P285" s="2" t="str">
        <f aca="false">IF(A285="","",IF(AND(MONTH(A285)=4,DAY(A285)&lt;6),13,MOD(MONTH(A285)-4,12)+1))</f>
        <v/>
      </c>
    </row>
    <row r="286" customFormat="false" ht="15" hidden="false" customHeight="false" outlineLevel="0" collapsed="false">
      <c r="A286" s="21"/>
      <c r="B286" s="6"/>
      <c r="C286" s="6"/>
      <c r="D286" s="6"/>
      <c r="E286" s="6"/>
      <c r="F286" s="22"/>
      <c r="G286" s="23"/>
      <c r="H286" s="24" t="str">
        <f aca="false">IF(B286="","",IFERROR(INDEX('Start here'!$C$16:$C$20,MATCH(B286,'Start here'!$B$16:$B$20,0)),"Check vehicle"))</f>
        <v/>
      </c>
      <c r="I286" s="25" t="str">
        <f aca="false">IF(OR(F286="",H286&lt;&gt;"Car or van"),"",SUMIFS($F$6:F286,$H$6:H286,"Car or van"))</f>
        <v/>
      </c>
      <c r="J286" s="24" t="str">
        <f aca="false">IF(F286="","",IF(H286="Car or van",IF(O286=0,TEXT(INDEX('Notes and sources'!$C$6:$D$6,1,'Start here'!$C$11)*100,"0")&amp;"p",IF(N286=0,TEXT(INDEX('Notes and sources'!$C$7:$D$7,1,'Start here'!$C$11)*100,"0")&amp;"p",TEXT(INDEX('Notes and sources'!$C$6:$D$6,1,'Start here'!$C$11)*100,"0")&amp;"p/"&amp;TEXT(INDEX('Notes and sources'!$C$7:$D$7,1,'Start here'!$C$11)*100,"0")&amp;"p")),IF(H286="Motorcycle",TEXT(INDEX('Notes and sources'!$C$8:$D$8,1,'Start here'!$C$11)*100,"0")&amp;"p",IF(H286="Bicycle",TEXT(INDEX('Notes and sources'!$C$9:$D$9,1,'Start here'!$C$11)*100,"0")&amp;"p",""))))</f>
        <v/>
      </c>
      <c r="K286" s="26" t="str">
        <f aca="false">IF(F286="","",ROUND(IF(H286="Car or van",N286*INDEX('Notes and sources'!$C$6:$D$6,1,'Start here'!$C$11)+O286*INDEX('Notes and sources'!$C$7:$D$7,1,'Start here'!$C$11)+N(G286)*N(F286)*INDEX('Notes and sources'!$C$10:$D$10,1,'Start here'!$C$11),IF(H286="Motorcycle",N(F286)*INDEX('Notes and sources'!$C$8:$D$8,1,'Start here'!$C$11),IF(H286="Bicycle",N(F286)*INDEX('Notes and sources'!$C$9:$D$9,1,'Start here'!$C$11),0))),2))</f>
        <v/>
      </c>
      <c r="L286" s="27"/>
      <c r="N286" s="2" t="n">
        <f aca="false">IF(I286="",0,MAX(0,MIN(N(F286),INDEX('Notes and sources'!$C$12:$D$12,1,'Start here'!$C$11)-(I286-N(F286)))))</f>
        <v>0</v>
      </c>
      <c r="O286" s="2" t="n">
        <f aca="false">IF(I286="",0,N(F286)-N286)</f>
        <v>0</v>
      </c>
      <c r="P286" s="2" t="str">
        <f aca="false">IF(A286="","",IF(AND(MONTH(A286)=4,DAY(A286)&lt;6),13,MOD(MONTH(A286)-4,12)+1))</f>
        <v/>
      </c>
    </row>
    <row r="287" customFormat="false" ht="15" hidden="false" customHeight="false" outlineLevel="0" collapsed="false">
      <c r="A287" s="21"/>
      <c r="B287" s="6"/>
      <c r="C287" s="6"/>
      <c r="D287" s="6"/>
      <c r="E287" s="6"/>
      <c r="F287" s="22"/>
      <c r="G287" s="23"/>
      <c r="H287" s="24" t="str">
        <f aca="false">IF(B287="","",IFERROR(INDEX('Start here'!$C$16:$C$20,MATCH(B287,'Start here'!$B$16:$B$20,0)),"Check vehicle"))</f>
        <v/>
      </c>
      <c r="I287" s="25" t="str">
        <f aca="false">IF(OR(F287="",H287&lt;&gt;"Car or van"),"",SUMIFS($F$6:F287,$H$6:H287,"Car or van"))</f>
        <v/>
      </c>
      <c r="J287" s="24" t="str">
        <f aca="false">IF(F287="","",IF(H287="Car or van",IF(O287=0,TEXT(INDEX('Notes and sources'!$C$6:$D$6,1,'Start here'!$C$11)*100,"0")&amp;"p",IF(N287=0,TEXT(INDEX('Notes and sources'!$C$7:$D$7,1,'Start here'!$C$11)*100,"0")&amp;"p",TEXT(INDEX('Notes and sources'!$C$6:$D$6,1,'Start here'!$C$11)*100,"0")&amp;"p/"&amp;TEXT(INDEX('Notes and sources'!$C$7:$D$7,1,'Start here'!$C$11)*100,"0")&amp;"p")),IF(H287="Motorcycle",TEXT(INDEX('Notes and sources'!$C$8:$D$8,1,'Start here'!$C$11)*100,"0")&amp;"p",IF(H287="Bicycle",TEXT(INDEX('Notes and sources'!$C$9:$D$9,1,'Start here'!$C$11)*100,"0")&amp;"p",""))))</f>
        <v/>
      </c>
      <c r="K287" s="26" t="str">
        <f aca="false">IF(F287="","",ROUND(IF(H287="Car or van",N287*INDEX('Notes and sources'!$C$6:$D$6,1,'Start here'!$C$11)+O287*INDEX('Notes and sources'!$C$7:$D$7,1,'Start here'!$C$11)+N(G287)*N(F287)*INDEX('Notes and sources'!$C$10:$D$10,1,'Start here'!$C$11),IF(H287="Motorcycle",N(F287)*INDEX('Notes and sources'!$C$8:$D$8,1,'Start here'!$C$11),IF(H287="Bicycle",N(F287)*INDEX('Notes and sources'!$C$9:$D$9,1,'Start here'!$C$11),0))),2))</f>
        <v/>
      </c>
      <c r="L287" s="27"/>
      <c r="N287" s="2" t="n">
        <f aca="false">IF(I287="",0,MAX(0,MIN(N(F287),INDEX('Notes and sources'!$C$12:$D$12,1,'Start here'!$C$11)-(I287-N(F287)))))</f>
        <v>0</v>
      </c>
      <c r="O287" s="2" t="n">
        <f aca="false">IF(I287="",0,N(F287)-N287)</f>
        <v>0</v>
      </c>
      <c r="P287" s="2" t="str">
        <f aca="false">IF(A287="","",IF(AND(MONTH(A287)=4,DAY(A287)&lt;6),13,MOD(MONTH(A287)-4,12)+1))</f>
        <v/>
      </c>
    </row>
    <row r="288" customFormat="false" ht="15" hidden="false" customHeight="false" outlineLevel="0" collapsed="false">
      <c r="A288" s="21"/>
      <c r="B288" s="6"/>
      <c r="C288" s="6"/>
      <c r="D288" s="6"/>
      <c r="E288" s="6"/>
      <c r="F288" s="22"/>
      <c r="G288" s="23"/>
      <c r="H288" s="24" t="str">
        <f aca="false">IF(B288="","",IFERROR(INDEX('Start here'!$C$16:$C$20,MATCH(B288,'Start here'!$B$16:$B$20,0)),"Check vehicle"))</f>
        <v/>
      </c>
      <c r="I288" s="25" t="str">
        <f aca="false">IF(OR(F288="",H288&lt;&gt;"Car or van"),"",SUMIFS($F$6:F288,$H$6:H288,"Car or van"))</f>
        <v/>
      </c>
      <c r="J288" s="24" t="str">
        <f aca="false">IF(F288="","",IF(H288="Car or van",IF(O288=0,TEXT(INDEX('Notes and sources'!$C$6:$D$6,1,'Start here'!$C$11)*100,"0")&amp;"p",IF(N288=0,TEXT(INDEX('Notes and sources'!$C$7:$D$7,1,'Start here'!$C$11)*100,"0")&amp;"p",TEXT(INDEX('Notes and sources'!$C$6:$D$6,1,'Start here'!$C$11)*100,"0")&amp;"p/"&amp;TEXT(INDEX('Notes and sources'!$C$7:$D$7,1,'Start here'!$C$11)*100,"0")&amp;"p")),IF(H288="Motorcycle",TEXT(INDEX('Notes and sources'!$C$8:$D$8,1,'Start here'!$C$11)*100,"0")&amp;"p",IF(H288="Bicycle",TEXT(INDEX('Notes and sources'!$C$9:$D$9,1,'Start here'!$C$11)*100,"0")&amp;"p",""))))</f>
        <v/>
      </c>
      <c r="K288" s="26" t="str">
        <f aca="false">IF(F288="","",ROUND(IF(H288="Car or van",N288*INDEX('Notes and sources'!$C$6:$D$6,1,'Start here'!$C$11)+O288*INDEX('Notes and sources'!$C$7:$D$7,1,'Start here'!$C$11)+N(G288)*N(F288)*INDEX('Notes and sources'!$C$10:$D$10,1,'Start here'!$C$11),IF(H288="Motorcycle",N(F288)*INDEX('Notes and sources'!$C$8:$D$8,1,'Start here'!$C$11),IF(H288="Bicycle",N(F288)*INDEX('Notes and sources'!$C$9:$D$9,1,'Start here'!$C$11),0))),2))</f>
        <v/>
      </c>
      <c r="L288" s="27"/>
      <c r="N288" s="2" t="n">
        <f aca="false">IF(I288="",0,MAX(0,MIN(N(F288),INDEX('Notes and sources'!$C$12:$D$12,1,'Start here'!$C$11)-(I288-N(F288)))))</f>
        <v>0</v>
      </c>
      <c r="O288" s="2" t="n">
        <f aca="false">IF(I288="",0,N(F288)-N288)</f>
        <v>0</v>
      </c>
      <c r="P288" s="2" t="str">
        <f aca="false">IF(A288="","",IF(AND(MONTH(A288)=4,DAY(A288)&lt;6),13,MOD(MONTH(A288)-4,12)+1))</f>
        <v/>
      </c>
    </row>
    <row r="289" customFormat="false" ht="15" hidden="false" customHeight="false" outlineLevel="0" collapsed="false">
      <c r="A289" s="21"/>
      <c r="B289" s="6"/>
      <c r="C289" s="6"/>
      <c r="D289" s="6"/>
      <c r="E289" s="6"/>
      <c r="F289" s="22"/>
      <c r="G289" s="23"/>
      <c r="H289" s="24" t="str">
        <f aca="false">IF(B289="","",IFERROR(INDEX('Start here'!$C$16:$C$20,MATCH(B289,'Start here'!$B$16:$B$20,0)),"Check vehicle"))</f>
        <v/>
      </c>
      <c r="I289" s="25" t="str">
        <f aca="false">IF(OR(F289="",H289&lt;&gt;"Car or van"),"",SUMIFS($F$6:F289,$H$6:H289,"Car or van"))</f>
        <v/>
      </c>
      <c r="J289" s="24" t="str">
        <f aca="false">IF(F289="","",IF(H289="Car or van",IF(O289=0,TEXT(INDEX('Notes and sources'!$C$6:$D$6,1,'Start here'!$C$11)*100,"0")&amp;"p",IF(N289=0,TEXT(INDEX('Notes and sources'!$C$7:$D$7,1,'Start here'!$C$11)*100,"0")&amp;"p",TEXT(INDEX('Notes and sources'!$C$6:$D$6,1,'Start here'!$C$11)*100,"0")&amp;"p/"&amp;TEXT(INDEX('Notes and sources'!$C$7:$D$7,1,'Start here'!$C$11)*100,"0")&amp;"p")),IF(H289="Motorcycle",TEXT(INDEX('Notes and sources'!$C$8:$D$8,1,'Start here'!$C$11)*100,"0")&amp;"p",IF(H289="Bicycle",TEXT(INDEX('Notes and sources'!$C$9:$D$9,1,'Start here'!$C$11)*100,"0")&amp;"p",""))))</f>
        <v/>
      </c>
      <c r="K289" s="26" t="str">
        <f aca="false">IF(F289="","",ROUND(IF(H289="Car or van",N289*INDEX('Notes and sources'!$C$6:$D$6,1,'Start here'!$C$11)+O289*INDEX('Notes and sources'!$C$7:$D$7,1,'Start here'!$C$11)+N(G289)*N(F289)*INDEX('Notes and sources'!$C$10:$D$10,1,'Start here'!$C$11),IF(H289="Motorcycle",N(F289)*INDEX('Notes and sources'!$C$8:$D$8,1,'Start here'!$C$11),IF(H289="Bicycle",N(F289)*INDEX('Notes and sources'!$C$9:$D$9,1,'Start here'!$C$11),0))),2))</f>
        <v/>
      </c>
      <c r="L289" s="27"/>
      <c r="N289" s="2" t="n">
        <f aca="false">IF(I289="",0,MAX(0,MIN(N(F289),INDEX('Notes and sources'!$C$12:$D$12,1,'Start here'!$C$11)-(I289-N(F289)))))</f>
        <v>0</v>
      </c>
      <c r="O289" s="2" t="n">
        <f aca="false">IF(I289="",0,N(F289)-N289)</f>
        <v>0</v>
      </c>
      <c r="P289" s="2" t="str">
        <f aca="false">IF(A289="","",IF(AND(MONTH(A289)=4,DAY(A289)&lt;6),13,MOD(MONTH(A289)-4,12)+1))</f>
        <v/>
      </c>
    </row>
    <row r="290" customFormat="false" ht="15" hidden="false" customHeight="false" outlineLevel="0" collapsed="false">
      <c r="A290" s="21"/>
      <c r="B290" s="6"/>
      <c r="C290" s="6"/>
      <c r="D290" s="6"/>
      <c r="E290" s="6"/>
      <c r="F290" s="22"/>
      <c r="G290" s="23"/>
      <c r="H290" s="24" t="str">
        <f aca="false">IF(B290="","",IFERROR(INDEX('Start here'!$C$16:$C$20,MATCH(B290,'Start here'!$B$16:$B$20,0)),"Check vehicle"))</f>
        <v/>
      </c>
      <c r="I290" s="25" t="str">
        <f aca="false">IF(OR(F290="",H290&lt;&gt;"Car or van"),"",SUMIFS($F$6:F290,$H$6:H290,"Car or van"))</f>
        <v/>
      </c>
      <c r="J290" s="24" t="str">
        <f aca="false">IF(F290="","",IF(H290="Car or van",IF(O290=0,TEXT(INDEX('Notes and sources'!$C$6:$D$6,1,'Start here'!$C$11)*100,"0")&amp;"p",IF(N290=0,TEXT(INDEX('Notes and sources'!$C$7:$D$7,1,'Start here'!$C$11)*100,"0")&amp;"p",TEXT(INDEX('Notes and sources'!$C$6:$D$6,1,'Start here'!$C$11)*100,"0")&amp;"p/"&amp;TEXT(INDEX('Notes and sources'!$C$7:$D$7,1,'Start here'!$C$11)*100,"0")&amp;"p")),IF(H290="Motorcycle",TEXT(INDEX('Notes and sources'!$C$8:$D$8,1,'Start here'!$C$11)*100,"0")&amp;"p",IF(H290="Bicycle",TEXT(INDEX('Notes and sources'!$C$9:$D$9,1,'Start here'!$C$11)*100,"0")&amp;"p",""))))</f>
        <v/>
      </c>
      <c r="K290" s="26" t="str">
        <f aca="false">IF(F290="","",ROUND(IF(H290="Car or van",N290*INDEX('Notes and sources'!$C$6:$D$6,1,'Start here'!$C$11)+O290*INDEX('Notes and sources'!$C$7:$D$7,1,'Start here'!$C$11)+N(G290)*N(F290)*INDEX('Notes and sources'!$C$10:$D$10,1,'Start here'!$C$11),IF(H290="Motorcycle",N(F290)*INDEX('Notes and sources'!$C$8:$D$8,1,'Start here'!$C$11),IF(H290="Bicycle",N(F290)*INDEX('Notes and sources'!$C$9:$D$9,1,'Start here'!$C$11),0))),2))</f>
        <v/>
      </c>
      <c r="L290" s="27"/>
      <c r="N290" s="2" t="n">
        <f aca="false">IF(I290="",0,MAX(0,MIN(N(F290),INDEX('Notes and sources'!$C$12:$D$12,1,'Start here'!$C$11)-(I290-N(F290)))))</f>
        <v>0</v>
      </c>
      <c r="O290" s="2" t="n">
        <f aca="false">IF(I290="",0,N(F290)-N290)</f>
        <v>0</v>
      </c>
      <c r="P290" s="2" t="str">
        <f aca="false">IF(A290="","",IF(AND(MONTH(A290)=4,DAY(A290)&lt;6),13,MOD(MONTH(A290)-4,12)+1))</f>
        <v/>
      </c>
    </row>
    <row r="291" customFormat="false" ht="15" hidden="false" customHeight="false" outlineLevel="0" collapsed="false">
      <c r="A291" s="21"/>
      <c r="B291" s="6"/>
      <c r="C291" s="6"/>
      <c r="D291" s="6"/>
      <c r="E291" s="6"/>
      <c r="F291" s="22"/>
      <c r="G291" s="23"/>
      <c r="H291" s="24" t="str">
        <f aca="false">IF(B291="","",IFERROR(INDEX('Start here'!$C$16:$C$20,MATCH(B291,'Start here'!$B$16:$B$20,0)),"Check vehicle"))</f>
        <v/>
      </c>
      <c r="I291" s="25" t="str">
        <f aca="false">IF(OR(F291="",H291&lt;&gt;"Car or van"),"",SUMIFS($F$6:F291,$H$6:H291,"Car or van"))</f>
        <v/>
      </c>
      <c r="J291" s="24" t="str">
        <f aca="false">IF(F291="","",IF(H291="Car or van",IF(O291=0,TEXT(INDEX('Notes and sources'!$C$6:$D$6,1,'Start here'!$C$11)*100,"0")&amp;"p",IF(N291=0,TEXT(INDEX('Notes and sources'!$C$7:$D$7,1,'Start here'!$C$11)*100,"0")&amp;"p",TEXT(INDEX('Notes and sources'!$C$6:$D$6,1,'Start here'!$C$11)*100,"0")&amp;"p/"&amp;TEXT(INDEX('Notes and sources'!$C$7:$D$7,1,'Start here'!$C$11)*100,"0")&amp;"p")),IF(H291="Motorcycle",TEXT(INDEX('Notes and sources'!$C$8:$D$8,1,'Start here'!$C$11)*100,"0")&amp;"p",IF(H291="Bicycle",TEXT(INDEX('Notes and sources'!$C$9:$D$9,1,'Start here'!$C$11)*100,"0")&amp;"p",""))))</f>
        <v/>
      </c>
      <c r="K291" s="26" t="str">
        <f aca="false">IF(F291="","",ROUND(IF(H291="Car or van",N291*INDEX('Notes and sources'!$C$6:$D$6,1,'Start here'!$C$11)+O291*INDEX('Notes and sources'!$C$7:$D$7,1,'Start here'!$C$11)+N(G291)*N(F291)*INDEX('Notes and sources'!$C$10:$D$10,1,'Start here'!$C$11),IF(H291="Motorcycle",N(F291)*INDEX('Notes and sources'!$C$8:$D$8,1,'Start here'!$C$11),IF(H291="Bicycle",N(F291)*INDEX('Notes and sources'!$C$9:$D$9,1,'Start here'!$C$11),0))),2))</f>
        <v/>
      </c>
      <c r="L291" s="27"/>
      <c r="N291" s="2" t="n">
        <f aca="false">IF(I291="",0,MAX(0,MIN(N(F291),INDEX('Notes and sources'!$C$12:$D$12,1,'Start here'!$C$11)-(I291-N(F291)))))</f>
        <v>0</v>
      </c>
      <c r="O291" s="2" t="n">
        <f aca="false">IF(I291="",0,N(F291)-N291)</f>
        <v>0</v>
      </c>
      <c r="P291" s="2" t="str">
        <f aca="false">IF(A291="","",IF(AND(MONTH(A291)=4,DAY(A291)&lt;6),13,MOD(MONTH(A291)-4,12)+1))</f>
        <v/>
      </c>
    </row>
    <row r="292" customFormat="false" ht="15" hidden="false" customHeight="false" outlineLevel="0" collapsed="false">
      <c r="A292" s="21"/>
      <c r="B292" s="6"/>
      <c r="C292" s="6"/>
      <c r="D292" s="6"/>
      <c r="E292" s="6"/>
      <c r="F292" s="22"/>
      <c r="G292" s="23"/>
      <c r="H292" s="24" t="str">
        <f aca="false">IF(B292="","",IFERROR(INDEX('Start here'!$C$16:$C$20,MATCH(B292,'Start here'!$B$16:$B$20,0)),"Check vehicle"))</f>
        <v/>
      </c>
      <c r="I292" s="25" t="str">
        <f aca="false">IF(OR(F292="",H292&lt;&gt;"Car or van"),"",SUMIFS($F$6:F292,$H$6:H292,"Car or van"))</f>
        <v/>
      </c>
      <c r="J292" s="24" t="str">
        <f aca="false">IF(F292="","",IF(H292="Car or van",IF(O292=0,TEXT(INDEX('Notes and sources'!$C$6:$D$6,1,'Start here'!$C$11)*100,"0")&amp;"p",IF(N292=0,TEXT(INDEX('Notes and sources'!$C$7:$D$7,1,'Start here'!$C$11)*100,"0")&amp;"p",TEXT(INDEX('Notes and sources'!$C$6:$D$6,1,'Start here'!$C$11)*100,"0")&amp;"p/"&amp;TEXT(INDEX('Notes and sources'!$C$7:$D$7,1,'Start here'!$C$11)*100,"0")&amp;"p")),IF(H292="Motorcycle",TEXT(INDEX('Notes and sources'!$C$8:$D$8,1,'Start here'!$C$11)*100,"0")&amp;"p",IF(H292="Bicycle",TEXT(INDEX('Notes and sources'!$C$9:$D$9,1,'Start here'!$C$11)*100,"0")&amp;"p",""))))</f>
        <v/>
      </c>
      <c r="K292" s="26" t="str">
        <f aca="false">IF(F292="","",ROUND(IF(H292="Car or van",N292*INDEX('Notes and sources'!$C$6:$D$6,1,'Start here'!$C$11)+O292*INDEX('Notes and sources'!$C$7:$D$7,1,'Start here'!$C$11)+N(G292)*N(F292)*INDEX('Notes and sources'!$C$10:$D$10,1,'Start here'!$C$11),IF(H292="Motorcycle",N(F292)*INDEX('Notes and sources'!$C$8:$D$8,1,'Start here'!$C$11),IF(H292="Bicycle",N(F292)*INDEX('Notes and sources'!$C$9:$D$9,1,'Start here'!$C$11),0))),2))</f>
        <v/>
      </c>
      <c r="L292" s="27"/>
      <c r="N292" s="2" t="n">
        <f aca="false">IF(I292="",0,MAX(0,MIN(N(F292),INDEX('Notes and sources'!$C$12:$D$12,1,'Start here'!$C$11)-(I292-N(F292)))))</f>
        <v>0</v>
      </c>
      <c r="O292" s="2" t="n">
        <f aca="false">IF(I292="",0,N(F292)-N292)</f>
        <v>0</v>
      </c>
      <c r="P292" s="2" t="str">
        <f aca="false">IF(A292="","",IF(AND(MONTH(A292)=4,DAY(A292)&lt;6),13,MOD(MONTH(A292)-4,12)+1))</f>
        <v/>
      </c>
    </row>
    <row r="293" customFormat="false" ht="15" hidden="false" customHeight="false" outlineLevel="0" collapsed="false">
      <c r="A293" s="21"/>
      <c r="B293" s="6"/>
      <c r="C293" s="6"/>
      <c r="D293" s="6"/>
      <c r="E293" s="6"/>
      <c r="F293" s="22"/>
      <c r="G293" s="23"/>
      <c r="H293" s="24" t="str">
        <f aca="false">IF(B293="","",IFERROR(INDEX('Start here'!$C$16:$C$20,MATCH(B293,'Start here'!$B$16:$B$20,0)),"Check vehicle"))</f>
        <v/>
      </c>
      <c r="I293" s="25" t="str">
        <f aca="false">IF(OR(F293="",H293&lt;&gt;"Car or van"),"",SUMIFS($F$6:F293,$H$6:H293,"Car or van"))</f>
        <v/>
      </c>
      <c r="J293" s="24" t="str">
        <f aca="false">IF(F293="","",IF(H293="Car or van",IF(O293=0,TEXT(INDEX('Notes and sources'!$C$6:$D$6,1,'Start here'!$C$11)*100,"0")&amp;"p",IF(N293=0,TEXT(INDEX('Notes and sources'!$C$7:$D$7,1,'Start here'!$C$11)*100,"0")&amp;"p",TEXT(INDEX('Notes and sources'!$C$6:$D$6,1,'Start here'!$C$11)*100,"0")&amp;"p/"&amp;TEXT(INDEX('Notes and sources'!$C$7:$D$7,1,'Start here'!$C$11)*100,"0")&amp;"p")),IF(H293="Motorcycle",TEXT(INDEX('Notes and sources'!$C$8:$D$8,1,'Start here'!$C$11)*100,"0")&amp;"p",IF(H293="Bicycle",TEXT(INDEX('Notes and sources'!$C$9:$D$9,1,'Start here'!$C$11)*100,"0")&amp;"p",""))))</f>
        <v/>
      </c>
      <c r="K293" s="26" t="str">
        <f aca="false">IF(F293="","",ROUND(IF(H293="Car or van",N293*INDEX('Notes and sources'!$C$6:$D$6,1,'Start here'!$C$11)+O293*INDEX('Notes and sources'!$C$7:$D$7,1,'Start here'!$C$11)+N(G293)*N(F293)*INDEX('Notes and sources'!$C$10:$D$10,1,'Start here'!$C$11),IF(H293="Motorcycle",N(F293)*INDEX('Notes and sources'!$C$8:$D$8,1,'Start here'!$C$11),IF(H293="Bicycle",N(F293)*INDEX('Notes and sources'!$C$9:$D$9,1,'Start here'!$C$11),0))),2))</f>
        <v/>
      </c>
      <c r="L293" s="27"/>
      <c r="N293" s="2" t="n">
        <f aca="false">IF(I293="",0,MAX(0,MIN(N(F293),INDEX('Notes and sources'!$C$12:$D$12,1,'Start here'!$C$11)-(I293-N(F293)))))</f>
        <v>0</v>
      </c>
      <c r="O293" s="2" t="n">
        <f aca="false">IF(I293="",0,N(F293)-N293)</f>
        <v>0</v>
      </c>
      <c r="P293" s="2" t="str">
        <f aca="false">IF(A293="","",IF(AND(MONTH(A293)=4,DAY(A293)&lt;6),13,MOD(MONTH(A293)-4,12)+1))</f>
        <v/>
      </c>
    </row>
    <row r="294" customFormat="false" ht="15" hidden="false" customHeight="false" outlineLevel="0" collapsed="false">
      <c r="A294" s="21"/>
      <c r="B294" s="6"/>
      <c r="C294" s="6"/>
      <c r="D294" s="6"/>
      <c r="E294" s="6"/>
      <c r="F294" s="22"/>
      <c r="G294" s="23"/>
      <c r="H294" s="24" t="str">
        <f aca="false">IF(B294="","",IFERROR(INDEX('Start here'!$C$16:$C$20,MATCH(B294,'Start here'!$B$16:$B$20,0)),"Check vehicle"))</f>
        <v/>
      </c>
      <c r="I294" s="25" t="str">
        <f aca="false">IF(OR(F294="",H294&lt;&gt;"Car or van"),"",SUMIFS($F$6:F294,$H$6:H294,"Car or van"))</f>
        <v/>
      </c>
      <c r="J294" s="24" t="str">
        <f aca="false">IF(F294="","",IF(H294="Car or van",IF(O294=0,TEXT(INDEX('Notes and sources'!$C$6:$D$6,1,'Start here'!$C$11)*100,"0")&amp;"p",IF(N294=0,TEXT(INDEX('Notes and sources'!$C$7:$D$7,1,'Start here'!$C$11)*100,"0")&amp;"p",TEXT(INDEX('Notes and sources'!$C$6:$D$6,1,'Start here'!$C$11)*100,"0")&amp;"p/"&amp;TEXT(INDEX('Notes and sources'!$C$7:$D$7,1,'Start here'!$C$11)*100,"0")&amp;"p")),IF(H294="Motorcycle",TEXT(INDEX('Notes and sources'!$C$8:$D$8,1,'Start here'!$C$11)*100,"0")&amp;"p",IF(H294="Bicycle",TEXT(INDEX('Notes and sources'!$C$9:$D$9,1,'Start here'!$C$11)*100,"0")&amp;"p",""))))</f>
        <v/>
      </c>
      <c r="K294" s="26" t="str">
        <f aca="false">IF(F294="","",ROUND(IF(H294="Car or van",N294*INDEX('Notes and sources'!$C$6:$D$6,1,'Start here'!$C$11)+O294*INDEX('Notes and sources'!$C$7:$D$7,1,'Start here'!$C$11)+N(G294)*N(F294)*INDEX('Notes and sources'!$C$10:$D$10,1,'Start here'!$C$11),IF(H294="Motorcycle",N(F294)*INDEX('Notes and sources'!$C$8:$D$8,1,'Start here'!$C$11),IF(H294="Bicycle",N(F294)*INDEX('Notes and sources'!$C$9:$D$9,1,'Start here'!$C$11),0))),2))</f>
        <v/>
      </c>
      <c r="L294" s="27"/>
      <c r="N294" s="2" t="n">
        <f aca="false">IF(I294="",0,MAX(0,MIN(N(F294),INDEX('Notes and sources'!$C$12:$D$12,1,'Start here'!$C$11)-(I294-N(F294)))))</f>
        <v>0</v>
      </c>
      <c r="O294" s="2" t="n">
        <f aca="false">IF(I294="",0,N(F294)-N294)</f>
        <v>0</v>
      </c>
      <c r="P294" s="2" t="str">
        <f aca="false">IF(A294="","",IF(AND(MONTH(A294)=4,DAY(A294)&lt;6),13,MOD(MONTH(A294)-4,12)+1))</f>
        <v/>
      </c>
    </row>
    <row r="295" customFormat="false" ht="15" hidden="false" customHeight="false" outlineLevel="0" collapsed="false">
      <c r="A295" s="21"/>
      <c r="B295" s="6"/>
      <c r="C295" s="6"/>
      <c r="D295" s="6"/>
      <c r="E295" s="6"/>
      <c r="F295" s="22"/>
      <c r="G295" s="23"/>
      <c r="H295" s="24" t="str">
        <f aca="false">IF(B295="","",IFERROR(INDEX('Start here'!$C$16:$C$20,MATCH(B295,'Start here'!$B$16:$B$20,0)),"Check vehicle"))</f>
        <v/>
      </c>
      <c r="I295" s="25" t="str">
        <f aca="false">IF(OR(F295="",H295&lt;&gt;"Car or van"),"",SUMIFS($F$6:F295,$H$6:H295,"Car or van"))</f>
        <v/>
      </c>
      <c r="J295" s="24" t="str">
        <f aca="false">IF(F295="","",IF(H295="Car or van",IF(O295=0,TEXT(INDEX('Notes and sources'!$C$6:$D$6,1,'Start here'!$C$11)*100,"0")&amp;"p",IF(N295=0,TEXT(INDEX('Notes and sources'!$C$7:$D$7,1,'Start here'!$C$11)*100,"0")&amp;"p",TEXT(INDEX('Notes and sources'!$C$6:$D$6,1,'Start here'!$C$11)*100,"0")&amp;"p/"&amp;TEXT(INDEX('Notes and sources'!$C$7:$D$7,1,'Start here'!$C$11)*100,"0")&amp;"p")),IF(H295="Motorcycle",TEXT(INDEX('Notes and sources'!$C$8:$D$8,1,'Start here'!$C$11)*100,"0")&amp;"p",IF(H295="Bicycle",TEXT(INDEX('Notes and sources'!$C$9:$D$9,1,'Start here'!$C$11)*100,"0")&amp;"p",""))))</f>
        <v/>
      </c>
      <c r="K295" s="26" t="str">
        <f aca="false">IF(F295="","",ROUND(IF(H295="Car or van",N295*INDEX('Notes and sources'!$C$6:$D$6,1,'Start here'!$C$11)+O295*INDEX('Notes and sources'!$C$7:$D$7,1,'Start here'!$C$11)+N(G295)*N(F295)*INDEX('Notes and sources'!$C$10:$D$10,1,'Start here'!$C$11),IF(H295="Motorcycle",N(F295)*INDEX('Notes and sources'!$C$8:$D$8,1,'Start here'!$C$11),IF(H295="Bicycle",N(F295)*INDEX('Notes and sources'!$C$9:$D$9,1,'Start here'!$C$11),0))),2))</f>
        <v/>
      </c>
      <c r="L295" s="27"/>
      <c r="N295" s="2" t="n">
        <f aca="false">IF(I295="",0,MAX(0,MIN(N(F295),INDEX('Notes and sources'!$C$12:$D$12,1,'Start here'!$C$11)-(I295-N(F295)))))</f>
        <v>0</v>
      </c>
      <c r="O295" s="2" t="n">
        <f aca="false">IF(I295="",0,N(F295)-N295)</f>
        <v>0</v>
      </c>
      <c r="P295" s="2" t="str">
        <f aca="false">IF(A295="","",IF(AND(MONTH(A295)=4,DAY(A295)&lt;6),13,MOD(MONTH(A295)-4,12)+1))</f>
        <v/>
      </c>
    </row>
    <row r="296" customFormat="false" ht="15" hidden="false" customHeight="false" outlineLevel="0" collapsed="false">
      <c r="A296" s="21"/>
      <c r="B296" s="6"/>
      <c r="C296" s="6"/>
      <c r="D296" s="6"/>
      <c r="E296" s="6"/>
      <c r="F296" s="22"/>
      <c r="G296" s="23"/>
      <c r="H296" s="24" t="str">
        <f aca="false">IF(B296="","",IFERROR(INDEX('Start here'!$C$16:$C$20,MATCH(B296,'Start here'!$B$16:$B$20,0)),"Check vehicle"))</f>
        <v/>
      </c>
      <c r="I296" s="25" t="str">
        <f aca="false">IF(OR(F296="",H296&lt;&gt;"Car or van"),"",SUMIFS($F$6:F296,$H$6:H296,"Car or van"))</f>
        <v/>
      </c>
      <c r="J296" s="24" t="str">
        <f aca="false">IF(F296="","",IF(H296="Car or van",IF(O296=0,TEXT(INDEX('Notes and sources'!$C$6:$D$6,1,'Start here'!$C$11)*100,"0")&amp;"p",IF(N296=0,TEXT(INDEX('Notes and sources'!$C$7:$D$7,1,'Start here'!$C$11)*100,"0")&amp;"p",TEXT(INDEX('Notes and sources'!$C$6:$D$6,1,'Start here'!$C$11)*100,"0")&amp;"p/"&amp;TEXT(INDEX('Notes and sources'!$C$7:$D$7,1,'Start here'!$C$11)*100,"0")&amp;"p")),IF(H296="Motorcycle",TEXT(INDEX('Notes and sources'!$C$8:$D$8,1,'Start here'!$C$11)*100,"0")&amp;"p",IF(H296="Bicycle",TEXT(INDEX('Notes and sources'!$C$9:$D$9,1,'Start here'!$C$11)*100,"0")&amp;"p",""))))</f>
        <v/>
      </c>
      <c r="K296" s="26" t="str">
        <f aca="false">IF(F296="","",ROUND(IF(H296="Car or van",N296*INDEX('Notes and sources'!$C$6:$D$6,1,'Start here'!$C$11)+O296*INDEX('Notes and sources'!$C$7:$D$7,1,'Start here'!$C$11)+N(G296)*N(F296)*INDEX('Notes and sources'!$C$10:$D$10,1,'Start here'!$C$11),IF(H296="Motorcycle",N(F296)*INDEX('Notes and sources'!$C$8:$D$8,1,'Start here'!$C$11),IF(H296="Bicycle",N(F296)*INDEX('Notes and sources'!$C$9:$D$9,1,'Start here'!$C$11),0))),2))</f>
        <v/>
      </c>
      <c r="L296" s="27"/>
      <c r="N296" s="2" t="n">
        <f aca="false">IF(I296="",0,MAX(0,MIN(N(F296),INDEX('Notes and sources'!$C$12:$D$12,1,'Start here'!$C$11)-(I296-N(F296)))))</f>
        <v>0</v>
      </c>
      <c r="O296" s="2" t="n">
        <f aca="false">IF(I296="",0,N(F296)-N296)</f>
        <v>0</v>
      </c>
      <c r="P296" s="2" t="str">
        <f aca="false">IF(A296="","",IF(AND(MONTH(A296)=4,DAY(A296)&lt;6),13,MOD(MONTH(A296)-4,12)+1))</f>
        <v/>
      </c>
    </row>
    <row r="297" customFormat="false" ht="15" hidden="false" customHeight="false" outlineLevel="0" collapsed="false">
      <c r="A297" s="21"/>
      <c r="B297" s="6"/>
      <c r="C297" s="6"/>
      <c r="D297" s="6"/>
      <c r="E297" s="6"/>
      <c r="F297" s="22"/>
      <c r="G297" s="23"/>
      <c r="H297" s="24" t="str">
        <f aca="false">IF(B297="","",IFERROR(INDEX('Start here'!$C$16:$C$20,MATCH(B297,'Start here'!$B$16:$B$20,0)),"Check vehicle"))</f>
        <v/>
      </c>
      <c r="I297" s="25" t="str">
        <f aca="false">IF(OR(F297="",H297&lt;&gt;"Car or van"),"",SUMIFS($F$6:F297,$H$6:H297,"Car or van"))</f>
        <v/>
      </c>
      <c r="J297" s="24" t="str">
        <f aca="false">IF(F297="","",IF(H297="Car or van",IF(O297=0,TEXT(INDEX('Notes and sources'!$C$6:$D$6,1,'Start here'!$C$11)*100,"0")&amp;"p",IF(N297=0,TEXT(INDEX('Notes and sources'!$C$7:$D$7,1,'Start here'!$C$11)*100,"0")&amp;"p",TEXT(INDEX('Notes and sources'!$C$6:$D$6,1,'Start here'!$C$11)*100,"0")&amp;"p/"&amp;TEXT(INDEX('Notes and sources'!$C$7:$D$7,1,'Start here'!$C$11)*100,"0")&amp;"p")),IF(H297="Motorcycle",TEXT(INDEX('Notes and sources'!$C$8:$D$8,1,'Start here'!$C$11)*100,"0")&amp;"p",IF(H297="Bicycle",TEXT(INDEX('Notes and sources'!$C$9:$D$9,1,'Start here'!$C$11)*100,"0")&amp;"p",""))))</f>
        <v/>
      </c>
      <c r="K297" s="26" t="str">
        <f aca="false">IF(F297="","",ROUND(IF(H297="Car or van",N297*INDEX('Notes and sources'!$C$6:$D$6,1,'Start here'!$C$11)+O297*INDEX('Notes and sources'!$C$7:$D$7,1,'Start here'!$C$11)+N(G297)*N(F297)*INDEX('Notes and sources'!$C$10:$D$10,1,'Start here'!$C$11),IF(H297="Motorcycle",N(F297)*INDEX('Notes and sources'!$C$8:$D$8,1,'Start here'!$C$11),IF(H297="Bicycle",N(F297)*INDEX('Notes and sources'!$C$9:$D$9,1,'Start here'!$C$11),0))),2))</f>
        <v/>
      </c>
      <c r="L297" s="27"/>
      <c r="N297" s="2" t="n">
        <f aca="false">IF(I297="",0,MAX(0,MIN(N(F297),INDEX('Notes and sources'!$C$12:$D$12,1,'Start here'!$C$11)-(I297-N(F297)))))</f>
        <v>0</v>
      </c>
      <c r="O297" s="2" t="n">
        <f aca="false">IF(I297="",0,N(F297)-N297)</f>
        <v>0</v>
      </c>
      <c r="P297" s="2" t="str">
        <f aca="false">IF(A297="","",IF(AND(MONTH(A297)=4,DAY(A297)&lt;6),13,MOD(MONTH(A297)-4,12)+1))</f>
        <v/>
      </c>
    </row>
    <row r="298" customFormat="false" ht="15" hidden="false" customHeight="false" outlineLevel="0" collapsed="false">
      <c r="A298" s="21"/>
      <c r="B298" s="6"/>
      <c r="C298" s="6"/>
      <c r="D298" s="6"/>
      <c r="E298" s="6"/>
      <c r="F298" s="22"/>
      <c r="G298" s="23"/>
      <c r="H298" s="24" t="str">
        <f aca="false">IF(B298="","",IFERROR(INDEX('Start here'!$C$16:$C$20,MATCH(B298,'Start here'!$B$16:$B$20,0)),"Check vehicle"))</f>
        <v/>
      </c>
      <c r="I298" s="25" t="str">
        <f aca="false">IF(OR(F298="",H298&lt;&gt;"Car or van"),"",SUMIFS($F$6:F298,$H$6:H298,"Car or van"))</f>
        <v/>
      </c>
      <c r="J298" s="24" t="str">
        <f aca="false">IF(F298="","",IF(H298="Car or van",IF(O298=0,TEXT(INDEX('Notes and sources'!$C$6:$D$6,1,'Start here'!$C$11)*100,"0")&amp;"p",IF(N298=0,TEXT(INDEX('Notes and sources'!$C$7:$D$7,1,'Start here'!$C$11)*100,"0")&amp;"p",TEXT(INDEX('Notes and sources'!$C$6:$D$6,1,'Start here'!$C$11)*100,"0")&amp;"p/"&amp;TEXT(INDEX('Notes and sources'!$C$7:$D$7,1,'Start here'!$C$11)*100,"0")&amp;"p")),IF(H298="Motorcycle",TEXT(INDEX('Notes and sources'!$C$8:$D$8,1,'Start here'!$C$11)*100,"0")&amp;"p",IF(H298="Bicycle",TEXT(INDEX('Notes and sources'!$C$9:$D$9,1,'Start here'!$C$11)*100,"0")&amp;"p",""))))</f>
        <v/>
      </c>
      <c r="K298" s="26" t="str">
        <f aca="false">IF(F298="","",ROUND(IF(H298="Car or van",N298*INDEX('Notes and sources'!$C$6:$D$6,1,'Start here'!$C$11)+O298*INDEX('Notes and sources'!$C$7:$D$7,1,'Start here'!$C$11)+N(G298)*N(F298)*INDEX('Notes and sources'!$C$10:$D$10,1,'Start here'!$C$11),IF(H298="Motorcycle",N(F298)*INDEX('Notes and sources'!$C$8:$D$8,1,'Start here'!$C$11),IF(H298="Bicycle",N(F298)*INDEX('Notes and sources'!$C$9:$D$9,1,'Start here'!$C$11),0))),2))</f>
        <v/>
      </c>
      <c r="L298" s="27"/>
      <c r="N298" s="2" t="n">
        <f aca="false">IF(I298="",0,MAX(0,MIN(N(F298),INDEX('Notes and sources'!$C$12:$D$12,1,'Start here'!$C$11)-(I298-N(F298)))))</f>
        <v>0</v>
      </c>
      <c r="O298" s="2" t="n">
        <f aca="false">IF(I298="",0,N(F298)-N298)</f>
        <v>0</v>
      </c>
      <c r="P298" s="2" t="str">
        <f aca="false">IF(A298="","",IF(AND(MONTH(A298)=4,DAY(A298)&lt;6),13,MOD(MONTH(A298)-4,12)+1))</f>
        <v/>
      </c>
    </row>
    <row r="299" customFormat="false" ht="15" hidden="false" customHeight="false" outlineLevel="0" collapsed="false">
      <c r="A299" s="21"/>
      <c r="B299" s="6"/>
      <c r="C299" s="6"/>
      <c r="D299" s="6"/>
      <c r="E299" s="6"/>
      <c r="F299" s="22"/>
      <c r="G299" s="23"/>
      <c r="H299" s="24" t="str">
        <f aca="false">IF(B299="","",IFERROR(INDEX('Start here'!$C$16:$C$20,MATCH(B299,'Start here'!$B$16:$B$20,0)),"Check vehicle"))</f>
        <v/>
      </c>
      <c r="I299" s="25" t="str">
        <f aca="false">IF(OR(F299="",H299&lt;&gt;"Car or van"),"",SUMIFS($F$6:F299,$H$6:H299,"Car or van"))</f>
        <v/>
      </c>
      <c r="J299" s="24" t="str">
        <f aca="false">IF(F299="","",IF(H299="Car or van",IF(O299=0,TEXT(INDEX('Notes and sources'!$C$6:$D$6,1,'Start here'!$C$11)*100,"0")&amp;"p",IF(N299=0,TEXT(INDEX('Notes and sources'!$C$7:$D$7,1,'Start here'!$C$11)*100,"0")&amp;"p",TEXT(INDEX('Notes and sources'!$C$6:$D$6,1,'Start here'!$C$11)*100,"0")&amp;"p/"&amp;TEXT(INDEX('Notes and sources'!$C$7:$D$7,1,'Start here'!$C$11)*100,"0")&amp;"p")),IF(H299="Motorcycle",TEXT(INDEX('Notes and sources'!$C$8:$D$8,1,'Start here'!$C$11)*100,"0")&amp;"p",IF(H299="Bicycle",TEXT(INDEX('Notes and sources'!$C$9:$D$9,1,'Start here'!$C$11)*100,"0")&amp;"p",""))))</f>
        <v/>
      </c>
      <c r="K299" s="26" t="str">
        <f aca="false">IF(F299="","",ROUND(IF(H299="Car or van",N299*INDEX('Notes and sources'!$C$6:$D$6,1,'Start here'!$C$11)+O299*INDEX('Notes and sources'!$C$7:$D$7,1,'Start here'!$C$11)+N(G299)*N(F299)*INDEX('Notes and sources'!$C$10:$D$10,1,'Start here'!$C$11),IF(H299="Motorcycle",N(F299)*INDEX('Notes and sources'!$C$8:$D$8,1,'Start here'!$C$11),IF(H299="Bicycle",N(F299)*INDEX('Notes and sources'!$C$9:$D$9,1,'Start here'!$C$11),0))),2))</f>
        <v/>
      </c>
      <c r="L299" s="27"/>
      <c r="N299" s="2" t="n">
        <f aca="false">IF(I299="",0,MAX(0,MIN(N(F299),INDEX('Notes and sources'!$C$12:$D$12,1,'Start here'!$C$11)-(I299-N(F299)))))</f>
        <v>0</v>
      </c>
      <c r="O299" s="2" t="n">
        <f aca="false">IF(I299="",0,N(F299)-N299)</f>
        <v>0</v>
      </c>
      <c r="P299" s="2" t="str">
        <f aca="false">IF(A299="","",IF(AND(MONTH(A299)=4,DAY(A299)&lt;6),13,MOD(MONTH(A299)-4,12)+1))</f>
        <v/>
      </c>
    </row>
    <row r="300" customFormat="false" ht="15" hidden="false" customHeight="false" outlineLevel="0" collapsed="false">
      <c r="A300" s="21"/>
      <c r="B300" s="6"/>
      <c r="C300" s="6"/>
      <c r="D300" s="6"/>
      <c r="E300" s="6"/>
      <c r="F300" s="22"/>
      <c r="G300" s="23"/>
      <c r="H300" s="24" t="str">
        <f aca="false">IF(B300="","",IFERROR(INDEX('Start here'!$C$16:$C$20,MATCH(B300,'Start here'!$B$16:$B$20,0)),"Check vehicle"))</f>
        <v/>
      </c>
      <c r="I300" s="25" t="str">
        <f aca="false">IF(OR(F300="",H300&lt;&gt;"Car or van"),"",SUMIFS($F$6:F300,$H$6:H300,"Car or van"))</f>
        <v/>
      </c>
      <c r="J300" s="24" t="str">
        <f aca="false">IF(F300="","",IF(H300="Car or van",IF(O300=0,TEXT(INDEX('Notes and sources'!$C$6:$D$6,1,'Start here'!$C$11)*100,"0")&amp;"p",IF(N300=0,TEXT(INDEX('Notes and sources'!$C$7:$D$7,1,'Start here'!$C$11)*100,"0")&amp;"p",TEXT(INDEX('Notes and sources'!$C$6:$D$6,1,'Start here'!$C$11)*100,"0")&amp;"p/"&amp;TEXT(INDEX('Notes and sources'!$C$7:$D$7,1,'Start here'!$C$11)*100,"0")&amp;"p")),IF(H300="Motorcycle",TEXT(INDEX('Notes and sources'!$C$8:$D$8,1,'Start here'!$C$11)*100,"0")&amp;"p",IF(H300="Bicycle",TEXT(INDEX('Notes and sources'!$C$9:$D$9,1,'Start here'!$C$11)*100,"0")&amp;"p",""))))</f>
        <v/>
      </c>
      <c r="K300" s="26" t="str">
        <f aca="false">IF(F300="","",ROUND(IF(H300="Car or van",N300*INDEX('Notes and sources'!$C$6:$D$6,1,'Start here'!$C$11)+O300*INDEX('Notes and sources'!$C$7:$D$7,1,'Start here'!$C$11)+N(G300)*N(F300)*INDEX('Notes and sources'!$C$10:$D$10,1,'Start here'!$C$11),IF(H300="Motorcycle",N(F300)*INDEX('Notes and sources'!$C$8:$D$8,1,'Start here'!$C$11),IF(H300="Bicycle",N(F300)*INDEX('Notes and sources'!$C$9:$D$9,1,'Start here'!$C$11),0))),2))</f>
        <v/>
      </c>
      <c r="L300" s="27"/>
      <c r="N300" s="2" t="n">
        <f aca="false">IF(I300="",0,MAX(0,MIN(N(F300),INDEX('Notes and sources'!$C$12:$D$12,1,'Start here'!$C$11)-(I300-N(F300)))))</f>
        <v>0</v>
      </c>
      <c r="O300" s="2" t="n">
        <f aca="false">IF(I300="",0,N(F300)-N300)</f>
        <v>0</v>
      </c>
      <c r="P300" s="2" t="str">
        <f aca="false">IF(A300="","",IF(AND(MONTH(A300)=4,DAY(A300)&lt;6),13,MOD(MONTH(A300)-4,12)+1))</f>
        <v/>
      </c>
    </row>
    <row r="301" customFormat="false" ht="15" hidden="false" customHeight="false" outlineLevel="0" collapsed="false">
      <c r="A301" s="21"/>
      <c r="B301" s="6"/>
      <c r="C301" s="6"/>
      <c r="D301" s="6"/>
      <c r="E301" s="6"/>
      <c r="F301" s="22"/>
      <c r="G301" s="23"/>
      <c r="H301" s="24" t="str">
        <f aca="false">IF(B301="","",IFERROR(INDEX('Start here'!$C$16:$C$20,MATCH(B301,'Start here'!$B$16:$B$20,0)),"Check vehicle"))</f>
        <v/>
      </c>
      <c r="I301" s="25" t="str">
        <f aca="false">IF(OR(F301="",H301&lt;&gt;"Car or van"),"",SUMIFS($F$6:F301,$H$6:H301,"Car or van"))</f>
        <v/>
      </c>
      <c r="J301" s="24" t="str">
        <f aca="false">IF(F301="","",IF(H301="Car or van",IF(O301=0,TEXT(INDEX('Notes and sources'!$C$6:$D$6,1,'Start here'!$C$11)*100,"0")&amp;"p",IF(N301=0,TEXT(INDEX('Notes and sources'!$C$7:$D$7,1,'Start here'!$C$11)*100,"0")&amp;"p",TEXT(INDEX('Notes and sources'!$C$6:$D$6,1,'Start here'!$C$11)*100,"0")&amp;"p/"&amp;TEXT(INDEX('Notes and sources'!$C$7:$D$7,1,'Start here'!$C$11)*100,"0")&amp;"p")),IF(H301="Motorcycle",TEXT(INDEX('Notes and sources'!$C$8:$D$8,1,'Start here'!$C$11)*100,"0")&amp;"p",IF(H301="Bicycle",TEXT(INDEX('Notes and sources'!$C$9:$D$9,1,'Start here'!$C$11)*100,"0")&amp;"p",""))))</f>
        <v/>
      </c>
      <c r="K301" s="26" t="str">
        <f aca="false">IF(F301="","",ROUND(IF(H301="Car or van",N301*INDEX('Notes and sources'!$C$6:$D$6,1,'Start here'!$C$11)+O301*INDEX('Notes and sources'!$C$7:$D$7,1,'Start here'!$C$11)+N(G301)*N(F301)*INDEX('Notes and sources'!$C$10:$D$10,1,'Start here'!$C$11),IF(H301="Motorcycle",N(F301)*INDEX('Notes and sources'!$C$8:$D$8,1,'Start here'!$C$11),IF(H301="Bicycle",N(F301)*INDEX('Notes and sources'!$C$9:$D$9,1,'Start here'!$C$11),0))),2))</f>
        <v/>
      </c>
      <c r="L301" s="27"/>
      <c r="N301" s="2" t="n">
        <f aca="false">IF(I301="",0,MAX(0,MIN(N(F301),INDEX('Notes and sources'!$C$12:$D$12,1,'Start here'!$C$11)-(I301-N(F301)))))</f>
        <v>0</v>
      </c>
      <c r="O301" s="2" t="n">
        <f aca="false">IF(I301="",0,N(F301)-N301)</f>
        <v>0</v>
      </c>
      <c r="P301" s="2" t="str">
        <f aca="false">IF(A301="","",IF(AND(MONTH(A301)=4,DAY(A301)&lt;6),13,MOD(MONTH(A301)-4,12)+1))</f>
        <v/>
      </c>
    </row>
    <row r="302" customFormat="false" ht="15" hidden="false" customHeight="false" outlineLevel="0" collapsed="false">
      <c r="A302" s="21"/>
      <c r="B302" s="6"/>
      <c r="C302" s="6"/>
      <c r="D302" s="6"/>
      <c r="E302" s="6"/>
      <c r="F302" s="22"/>
      <c r="G302" s="23"/>
      <c r="H302" s="24" t="str">
        <f aca="false">IF(B302="","",IFERROR(INDEX('Start here'!$C$16:$C$20,MATCH(B302,'Start here'!$B$16:$B$20,0)),"Check vehicle"))</f>
        <v/>
      </c>
      <c r="I302" s="25" t="str">
        <f aca="false">IF(OR(F302="",H302&lt;&gt;"Car or van"),"",SUMIFS($F$6:F302,$H$6:H302,"Car or van"))</f>
        <v/>
      </c>
      <c r="J302" s="24" t="str">
        <f aca="false">IF(F302="","",IF(H302="Car or van",IF(O302=0,TEXT(INDEX('Notes and sources'!$C$6:$D$6,1,'Start here'!$C$11)*100,"0")&amp;"p",IF(N302=0,TEXT(INDEX('Notes and sources'!$C$7:$D$7,1,'Start here'!$C$11)*100,"0")&amp;"p",TEXT(INDEX('Notes and sources'!$C$6:$D$6,1,'Start here'!$C$11)*100,"0")&amp;"p/"&amp;TEXT(INDEX('Notes and sources'!$C$7:$D$7,1,'Start here'!$C$11)*100,"0")&amp;"p")),IF(H302="Motorcycle",TEXT(INDEX('Notes and sources'!$C$8:$D$8,1,'Start here'!$C$11)*100,"0")&amp;"p",IF(H302="Bicycle",TEXT(INDEX('Notes and sources'!$C$9:$D$9,1,'Start here'!$C$11)*100,"0")&amp;"p",""))))</f>
        <v/>
      </c>
      <c r="K302" s="26" t="str">
        <f aca="false">IF(F302="","",ROUND(IF(H302="Car or van",N302*INDEX('Notes and sources'!$C$6:$D$6,1,'Start here'!$C$11)+O302*INDEX('Notes and sources'!$C$7:$D$7,1,'Start here'!$C$11)+N(G302)*N(F302)*INDEX('Notes and sources'!$C$10:$D$10,1,'Start here'!$C$11),IF(H302="Motorcycle",N(F302)*INDEX('Notes and sources'!$C$8:$D$8,1,'Start here'!$C$11),IF(H302="Bicycle",N(F302)*INDEX('Notes and sources'!$C$9:$D$9,1,'Start here'!$C$11),0))),2))</f>
        <v/>
      </c>
      <c r="L302" s="27"/>
      <c r="N302" s="2" t="n">
        <f aca="false">IF(I302="",0,MAX(0,MIN(N(F302),INDEX('Notes and sources'!$C$12:$D$12,1,'Start here'!$C$11)-(I302-N(F302)))))</f>
        <v>0</v>
      </c>
      <c r="O302" s="2" t="n">
        <f aca="false">IF(I302="",0,N(F302)-N302)</f>
        <v>0</v>
      </c>
      <c r="P302" s="2" t="str">
        <f aca="false">IF(A302="","",IF(AND(MONTH(A302)=4,DAY(A302)&lt;6),13,MOD(MONTH(A302)-4,12)+1))</f>
        <v/>
      </c>
    </row>
    <row r="303" customFormat="false" ht="15" hidden="false" customHeight="false" outlineLevel="0" collapsed="false">
      <c r="A303" s="21"/>
      <c r="B303" s="6"/>
      <c r="C303" s="6"/>
      <c r="D303" s="6"/>
      <c r="E303" s="6"/>
      <c r="F303" s="22"/>
      <c r="G303" s="23"/>
      <c r="H303" s="24" t="str">
        <f aca="false">IF(B303="","",IFERROR(INDEX('Start here'!$C$16:$C$20,MATCH(B303,'Start here'!$B$16:$B$20,0)),"Check vehicle"))</f>
        <v/>
      </c>
      <c r="I303" s="25" t="str">
        <f aca="false">IF(OR(F303="",H303&lt;&gt;"Car or van"),"",SUMIFS($F$6:F303,$H$6:H303,"Car or van"))</f>
        <v/>
      </c>
      <c r="J303" s="24" t="str">
        <f aca="false">IF(F303="","",IF(H303="Car or van",IF(O303=0,TEXT(INDEX('Notes and sources'!$C$6:$D$6,1,'Start here'!$C$11)*100,"0")&amp;"p",IF(N303=0,TEXT(INDEX('Notes and sources'!$C$7:$D$7,1,'Start here'!$C$11)*100,"0")&amp;"p",TEXT(INDEX('Notes and sources'!$C$6:$D$6,1,'Start here'!$C$11)*100,"0")&amp;"p/"&amp;TEXT(INDEX('Notes and sources'!$C$7:$D$7,1,'Start here'!$C$11)*100,"0")&amp;"p")),IF(H303="Motorcycle",TEXT(INDEX('Notes and sources'!$C$8:$D$8,1,'Start here'!$C$11)*100,"0")&amp;"p",IF(H303="Bicycle",TEXT(INDEX('Notes and sources'!$C$9:$D$9,1,'Start here'!$C$11)*100,"0")&amp;"p",""))))</f>
        <v/>
      </c>
      <c r="K303" s="26" t="str">
        <f aca="false">IF(F303="","",ROUND(IF(H303="Car or van",N303*INDEX('Notes and sources'!$C$6:$D$6,1,'Start here'!$C$11)+O303*INDEX('Notes and sources'!$C$7:$D$7,1,'Start here'!$C$11)+N(G303)*N(F303)*INDEX('Notes and sources'!$C$10:$D$10,1,'Start here'!$C$11),IF(H303="Motorcycle",N(F303)*INDEX('Notes and sources'!$C$8:$D$8,1,'Start here'!$C$11),IF(H303="Bicycle",N(F303)*INDEX('Notes and sources'!$C$9:$D$9,1,'Start here'!$C$11),0))),2))</f>
        <v/>
      </c>
      <c r="L303" s="27"/>
      <c r="N303" s="2" t="n">
        <f aca="false">IF(I303="",0,MAX(0,MIN(N(F303),INDEX('Notes and sources'!$C$12:$D$12,1,'Start here'!$C$11)-(I303-N(F303)))))</f>
        <v>0</v>
      </c>
      <c r="O303" s="2" t="n">
        <f aca="false">IF(I303="",0,N(F303)-N303)</f>
        <v>0</v>
      </c>
      <c r="P303" s="2" t="str">
        <f aca="false">IF(A303="","",IF(AND(MONTH(A303)=4,DAY(A303)&lt;6),13,MOD(MONTH(A303)-4,12)+1))</f>
        <v/>
      </c>
    </row>
    <row r="304" customFormat="false" ht="15" hidden="false" customHeight="false" outlineLevel="0" collapsed="false">
      <c r="A304" s="21"/>
      <c r="B304" s="6"/>
      <c r="C304" s="6"/>
      <c r="D304" s="6"/>
      <c r="E304" s="6"/>
      <c r="F304" s="22"/>
      <c r="G304" s="23"/>
      <c r="H304" s="24" t="str">
        <f aca="false">IF(B304="","",IFERROR(INDEX('Start here'!$C$16:$C$20,MATCH(B304,'Start here'!$B$16:$B$20,0)),"Check vehicle"))</f>
        <v/>
      </c>
      <c r="I304" s="25" t="str">
        <f aca="false">IF(OR(F304="",H304&lt;&gt;"Car or van"),"",SUMIFS($F$6:F304,$H$6:H304,"Car or van"))</f>
        <v/>
      </c>
      <c r="J304" s="24" t="str">
        <f aca="false">IF(F304="","",IF(H304="Car or van",IF(O304=0,TEXT(INDEX('Notes and sources'!$C$6:$D$6,1,'Start here'!$C$11)*100,"0")&amp;"p",IF(N304=0,TEXT(INDEX('Notes and sources'!$C$7:$D$7,1,'Start here'!$C$11)*100,"0")&amp;"p",TEXT(INDEX('Notes and sources'!$C$6:$D$6,1,'Start here'!$C$11)*100,"0")&amp;"p/"&amp;TEXT(INDEX('Notes and sources'!$C$7:$D$7,1,'Start here'!$C$11)*100,"0")&amp;"p")),IF(H304="Motorcycle",TEXT(INDEX('Notes and sources'!$C$8:$D$8,1,'Start here'!$C$11)*100,"0")&amp;"p",IF(H304="Bicycle",TEXT(INDEX('Notes and sources'!$C$9:$D$9,1,'Start here'!$C$11)*100,"0")&amp;"p",""))))</f>
        <v/>
      </c>
      <c r="K304" s="26" t="str">
        <f aca="false">IF(F304="","",ROUND(IF(H304="Car or van",N304*INDEX('Notes and sources'!$C$6:$D$6,1,'Start here'!$C$11)+O304*INDEX('Notes and sources'!$C$7:$D$7,1,'Start here'!$C$11)+N(G304)*N(F304)*INDEX('Notes and sources'!$C$10:$D$10,1,'Start here'!$C$11),IF(H304="Motorcycle",N(F304)*INDEX('Notes and sources'!$C$8:$D$8,1,'Start here'!$C$11),IF(H304="Bicycle",N(F304)*INDEX('Notes and sources'!$C$9:$D$9,1,'Start here'!$C$11),0))),2))</f>
        <v/>
      </c>
      <c r="L304" s="27"/>
      <c r="N304" s="2" t="n">
        <f aca="false">IF(I304="",0,MAX(0,MIN(N(F304),INDEX('Notes and sources'!$C$12:$D$12,1,'Start here'!$C$11)-(I304-N(F304)))))</f>
        <v>0</v>
      </c>
      <c r="O304" s="2" t="n">
        <f aca="false">IF(I304="",0,N(F304)-N304)</f>
        <v>0</v>
      </c>
      <c r="P304" s="2" t="str">
        <f aca="false">IF(A304="","",IF(AND(MONTH(A304)=4,DAY(A304)&lt;6),13,MOD(MONTH(A304)-4,12)+1))</f>
        <v/>
      </c>
    </row>
    <row r="305" customFormat="false" ht="15" hidden="false" customHeight="false" outlineLevel="0" collapsed="false">
      <c r="A305" s="21"/>
      <c r="B305" s="6"/>
      <c r="C305" s="6"/>
      <c r="D305" s="6"/>
      <c r="E305" s="6"/>
      <c r="F305" s="22"/>
      <c r="G305" s="23"/>
      <c r="H305" s="24" t="str">
        <f aca="false">IF(B305="","",IFERROR(INDEX('Start here'!$C$16:$C$20,MATCH(B305,'Start here'!$B$16:$B$20,0)),"Check vehicle"))</f>
        <v/>
      </c>
      <c r="I305" s="25" t="str">
        <f aca="false">IF(OR(F305="",H305&lt;&gt;"Car or van"),"",SUMIFS($F$6:F305,$H$6:H305,"Car or van"))</f>
        <v/>
      </c>
      <c r="J305" s="24" t="str">
        <f aca="false">IF(F305="","",IF(H305="Car or van",IF(O305=0,TEXT(INDEX('Notes and sources'!$C$6:$D$6,1,'Start here'!$C$11)*100,"0")&amp;"p",IF(N305=0,TEXT(INDEX('Notes and sources'!$C$7:$D$7,1,'Start here'!$C$11)*100,"0")&amp;"p",TEXT(INDEX('Notes and sources'!$C$6:$D$6,1,'Start here'!$C$11)*100,"0")&amp;"p/"&amp;TEXT(INDEX('Notes and sources'!$C$7:$D$7,1,'Start here'!$C$11)*100,"0")&amp;"p")),IF(H305="Motorcycle",TEXT(INDEX('Notes and sources'!$C$8:$D$8,1,'Start here'!$C$11)*100,"0")&amp;"p",IF(H305="Bicycle",TEXT(INDEX('Notes and sources'!$C$9:$D$9,1,'Start here'!$C$11)*100,"0")&amp;"p",""))))</f>
        <v/>
      </c>
      <c r="K305" s="26" t="str">
        <f aca="false">IF(F305="","",ROUND(IF(H305="Car or van",N305*INDEX('Notes and sources'!$C$6:$D$6,1,'Start here'!$C$11)+O305*INDEX('Notes and sources'!$C$7:$D$7,1,'Start here'!$C$11)+N(G305)*N(F305)*INDEX('Notes and sources'!$C$10:$D$10,1,'Start here'!$C$11),IF(H305="Motorcycle",N(F305)*INDEX('Notes and sources'!$C$8:$D$8,1,'Start here'!$C$11),IF(H305="Bicycle",N(F305)*INDEX('Notes and sources'!$C$9:$D$9,1,'Start here'!$C$11),0))),2))</f>
        <v/>
      </c>
      <c r="L305" s="27"/>
      <c r="N305" s="2" t="n">
        <f aca="false">IF(I305="",0,MAX(0,MIN(N(F305),INDEX('Notes and sources'!$C$12:$D$12,1,'Start here'!$C$11)-(I305-N(F305)))))</f>
        <v>0</v>
      </c>
      <c r="O305" s="2" t="n">
        <f aca="false">IF(I305="",0,N(F305)-N305)</f>
        <v>0</v>
      </c>
      <c r="P305" s="2" t="str">
        <f aca="false">IF(A305="","",IF(AND(MONTH(A305)=4,DAY(A305)&lt;6),13,MOD(MONTH(A305)-4,12)+1))</f>
        <v/>
      </c>
    </row>
    <row r="306" customFormat="false" ht="15" hidden="false" customHeight="false" outlineLevel="0" collapsed="false">
      <c r="A306" s="21"/>
      <c r="B306" s="6"/>
      <c r="C306" s="6"/>
      <c r="D306" s="6"/>
      <c r="E306" s="6"/>
      <c r="F306" s="22"/>
      <c r="G306" s="23"/>
      <c r="H306" s="24" t="str">
        <f aca="false">IF(B306="","",IFERROR(INDEX('Start here'!$C$16:$C$20,MATCH(B306,'Start here'!$B$16:$B$20,0)),"Check vehicle"))</f>
        <v/>
      </c>
      <c r="I306" s="25" t="str">
        <f aca="false">IF(OR(F306="",H306&lt;&gt;"Car or van"),"",SUMIFS($F$6:F306,$H$6:H306,"Car or van"))</f>
        <v/>
      </c>
      <c r="J306" s="24" t="str">
        <f aca="false">IF(F306="","",IF(H306="Car or van",IF(O306=0,TEXT(INDEX('Notes and sources'!$C$6:$D$6,1,'Start here'!$C$11)*100,"0")&amp;"p",IF(N306=0,TEXT(INDEX('Notes and sources'!$C$7:$D$7,1,'Start here'!$C$11)*100,"0")&amp;"p",TEXT(INDEX('Notes and sources'!$C$6:$D$6,1,'Start here'!$C$11)*100,"0")&amp;"p/"&amp;TEXT(INDEX('Notes and sources'!$C$7:$D$7,1,'Start here'!$C$11)*100,"0")&amp;"p")),IF(H306="Motorcycle",TEXT(INDEX('Notes and sources'!$C$8:$D$8,1,'Start here'!$C$11)*100,"0")&amp;"p",IF(H306="Bicycle",TEXT(INDEX('Notes and sources'!$C$9:$D$9,1,'Start here'!$C$11)*100,"0")&amp;"p",""))))</f>
        <v/>
      </c>
      <c r="K306" s="26" t="str">
        <f aca="false">IF(F306="","",ROUND(IF(H306="Car or van",N306*INDEX('Notes and sources'!$C$6:$D$6,1,'Start here'!$C$11)+O306*INDEX('Notes and sources'!$C$7:$D$7,1,'Start here'!$C$11)+N(G306)*N(F306)*INDEX('Notes and sources'!$C$10:$D$10,1,'Start here'!$C$11),IF(H306="Motorcycle",N(F306)*INDEX('Notes and sources'!$C$8:$D$8,1,'Start here'!$C$11),IF(H306="Bicycle",N(F306)*INDEX('Notes and sources'!$C$9:$D$9,1,'Start here'!$C$11),0))),2))</f>
        <v/>
      </c>
      <c r="L306" s="27"/>
      <c r="N306" s="2" t="n">
        <f aca="false">IF(I306="",0,MAX(0,MIN(N(F306),INDEX('Notes and sources'!$C$12:$D$12,1,'Start here'!$C$11)-(I306-N(F306)))))</f>
        <v>0</v>
      </c>
      <c r="O306" s="2" t="n">
        <f aca="false">IF(I306="",0,N(F306)-N306)</f>
        <v>0</v>
      </c>
      <c r="P306" s="2" t="str">
        <f aca="false">IF(A306="","",IF(AND(MONTH(A306)=4,DAY(A306)&lt;6),13,MOD(MONTH(A306)-4,12)+1))</f>
        <v/>
      </c>
    </row>
    <row r="307" customFormat="false" ht="15" hidden="false" customHeight="false" outlineLevel="0" collapsed="false">
      <c r="A307" s="21"/>
      <c r="B307" s="6"/>
      <c r="C307" s="6"/>
      <c r="D307" s="6"/>
      <c r="E307" s="6"/>
      <c r="F307" s="22"/>
      <c r="G307" s="23"/>
      <c r="H307" s="24" t="str">
        <f aca="false">IF(B307="","",IFERROR(INDEX('Start here'!$C$16:$C$20,MATCH(B307,'Start here'!$B$16:$B$20,0)),"Check vehicle"))</f>
        <v/>
      </c>
      <c r="I307" s="25" t="str">
        <f aca="false">IF(OR(F307="",H307&lt;&gt;"Car or van"),"",SUMIFS($F$6:F307,$H$6:H307,"Car or van"))</f>
        <v/>
      </c>
      <c r="J307" s="24" t="str">
        <f aca="false">IF(F307="","",IF(H307="Car or van",IF(O307=0,TEXT(INDEX('Notes and sources'!$C$6:$D$6,1,'Start here'!$C$11)*100,"0")&amp;"p",IF(N307=0,TEXT(INDEX('Notes and sources'!$C$7:$D$7,1,'Start here'!$C$11)*100,"0")&amp;"p",TEXT(INDEX('Notes and sources'!$C$6:$D$6,1,'Start here'!$C$11)*100,"0")&amp;"p/"&amp;TEXT(INDEX('Notes and sources'!$C$7:$D$7,1,'Start here'!$C$11)*100,"0")&amp;"p")),IF(H307="Motorcycle",TEXT(INDEX('Notes and sources'!$C$8:$D$8,1,'Start here'!$C$11)*100,"0")&amp;"p",IF(H307="Bicycle",TEXT(INDEX('Notes and sources'!$C$9:$D$9,1,'Start here'!$C$11)*100,"0")&amp;"p",""))))</f>
        <v/>
      </c>
      <c r="K307" s="26" t="str">
        <f aca="false">IF(F307="","",ROUND(IF(H307="Car or van",N307*INDEX('Notes and sources'!$C$6:$D$6,1,'Start here'!$C$11)+O307*INDEX('Notes and sources'!$C$7:$D$7,1,'Start here'!$C$11)+N(G307)*N(F307)*INDEX('Notes and sources'!$C$10:$D$10,1,'Start here'!$C$11),IF(H307="Motorcycle",N(F307)*INDEX('Notes and sources'!$C$8:$D$8,1,'Start here'!$C$11),IF(H307="Bicycle",N(F307)*INDEX('Notes and sources'!$C$9:$D$9,1,'Start here'!$C$11),0))),2))</f>
        <v/>
      </c>
      <c r="L307" s="27"/>
      <c r="N307" s="2" t="n">
        <f aca="false">IF(I307="",0,MAX(0,MIN(N(F307),INDEX('Notes and sources'!$C$12:$D$12,1,'Start here'!$C$11)-(I307-N(F307)))))</f>
        <v>0</v>
      </c>
      <c r="O307" s="2" t="n">
        <f aca="false">IF(I307="",0,N(F307)-N307)</f>
        <v>0</v>
      </c>
      <c r="P307" s="2" t="str">
        <f aca="false">IF(A307="","",IF(AND(MONTH(A307)=4,DAY(A307)&lt;6),13,MOD(MONTH(A307)-4,12)+1))</f>
        <v/>
      </c>
    </row>
    <row r="308" customFormat="false" ht="15" hidden="false" customHeight="false" outlineLevel="0" collapsed="false">
      <c r="A308" s="21"/>
      <c r="B308" s="6"/>
      <c r="C308" s="6"/>
      <c r="D308" s="6"/>
      <c r="E308" s="6"/>
      <c r="F308" s="22"/>
      <c r="G308" s="23"/>
      <c r="H308" s="24" t="str">
        <f aca="false">IF(B308="","",IFERROR(INDEX('Start here'!$C$16:$C$20,MATCH(B308,'Start here'!$B$16:$B$20,0)),"Check vehicle"))</f>
        <v/>
      </c>
      <c r="I308" s="25" t="str">
        <f aca="false">IF(OR(F308="",H308&lt;&gt;"Car or van"),"",SUMIFS($F$6:F308,$H$6:H308,"Car or van"))</f>
        <v/>
      </c>
      <c r="J308" s="24" t="str">
        <f aca="false">IF(F308="","",IF(H308="Car or van",IF(O308=0,TEXT(INDEX('Notes and sources'!$C$6:$D$6,1,'Start here'!$C$11)*100,"0")&amp;"p",IF(N308=0,TEXT(INDEX('Notes and sources'!$C$7:$D$7,1,'Start here'!$C$11)*100,"0")&amp;"p",TEXT(INDEX('Notes and sources'!$C$6:$D$6,1,'Start here'!$C$11)*100,"0")&amp;"p/"&amp;TEXT(INDEX('Notes and sources'!$C$7:$D$7,1,'Start here'!$C$11)*100,"0")&amp;"p")),IF(H308="Motorcycle",TEXT(INDEX('Notes and sources'!$C$8:$D$8,1,'Start here'!$C$11)*100,"0")&amp;"p",IF(H308="Bicycle",TEXT(INDEX('Notes and sources'!$C$9:$D$9,1,'Start here'!$C$11)*100,"0")&amp;"p",""))))</f>
        <v/>
      </c>
      <c r="K308" s="26" t="str">
        <f aca="false">IF(F308="","",ROUND(IF(H308="Car or van",N308*INDEX('Notes and sources'!$C$6:$D$6,1,'Start here'!$C$11)+O308*INDEX('Notes and sources'!$C$7:$D$7,1,'Start here'!$C$11)+N(G308)*N(F308)*INDEX('Notes and sources'!$C$10:$D$10,1,'Start here'!$C$11),IF(H308="Motorcycle",N(F308)*INDEX('Notes and sources'!$C$8:$D$8,1,'Start here'!$C$11),IF(H308="Bicycle",N(F308)*INDEX('Notes and sources'!$C$9:$D$9,1,'Start here'!$C$11),0))),2))</f>
        <v/>
      </c>
      <c r="L308" s="27"/>
      <c r="N308" s="2" t="n">
        <f aca="false">IF(I308="",0,MAX(0,MIN(N(F308),INDEX('Notes and sources'!$C$12:$D$12,1,'Start here'!$C$11)-(I308-N(F308)))))</f>
        <v>0</v>
      </c>
      <c r="O308" s="2" t="n">
        <f aca="false">IF(I308="",0,N(F308)-N308)</f>
        <v>0</v>
      </c>
      <c r="P308" s="2" t="str">
        <f aca="false">IF(A308="","",IF(AND(MONTH(A308)=4,DAY(A308)&lt;6),13,MOD(MONTH(A308)-4,12)+1))</f>
        <v/>
      </c>
    </row>
    <row r="309" customFormat="false" ht="15" hidden="false" customHeight="false" outlineLevel="0" collapsed="false">
      <c r="A309" s="21"/>
      <c r="B309" s="6"/>
      <c r="C309" s="6"/>
      <c r="D309" s="6"/>
      <c r="E309" s="6"/>
      <c r="F309" s="22"/>
      <c r="G309" s="23"/>
      <c r="H309" s="24" t="str">
        <f aca="false">IF(B309="","",IFERROR(INDEX('Start here'!$C$16:$C$20,MATCH(B309,'Start here'!$B$16:$B$20,0)),"Check vehicle"))</f>
        <v/>
      </c>
      <c r="I309" s="25" t="str">
        <f aca="false">IF(OR(F309="",H309&lt;&gt;"Car or van"),"",SUMIFS($F$6:F309,$H$6:H309,"Car or van"))</f>
        <v/>
      </c>
      <c r="J309" s="24" t="str">
        <f aca="false">IF(F309="","",IF(H309="Car or van",IF(O309=0,TEXT(INDEX('Notes and sources'!$C$6:$D$6,1,'Start here'!$C$11)*100,"0")&amp;"p",IF(N309=0,TEXT(INDEX('Notes and sources'!$C$7:$D$7,1,'Start here'!$C$11)*100,"0")&amp;"p",TEXT(INDEX('Notes and sources'!$C$6:$D$6,1,'Start here'!$C$11)*100,"0")&amp;"p/"&amp;TEXT(INDEX('Notes and sources'!$C$7:$D$7,1,'Start here'!$C$11)*100,"0")&amp;"p")),IF(H309="Motorcycle",TEXT(INDEX('Notes and sources'!$C$8:$D$8,1,'Start here'!$C$11)*100,"0")&amp;"p",IF(H309="Bicycle",TEXT(INDEX('Notes and sources'!$C$9:$D$9,1,'Start here'!$C$11)*100,"0")&amp;"p",""))))</f>
        <v/>
      </c>
      <c r="K309" s="26" t="str">
        <f aca="false">IF(F309="","",ROUND(IF(H309="Car or van",N309*INDEX('Notes and sources'!$C$6:$D$6,1,'Start here'!$C$11)+O309*INDEX('Notes and sources'!$C$7:$D$7,1,'Start here'!$C$11)+N(G309)*N(F309)*INDEX('Notes and sources'!$C$10:$D$10,1,'Start here'!$C$11),IF(H309="Motorcycle",N(F309)*INDEX('Notes and sources'!$C$8:$D$8,1,'Start here'!$C$11),IF(H309="Bicycle",N(F309)*INDEX('Notes and sources'!$C$9:$D$9,1,'Start here'!$C$11),0))),2))</f>
        <v/>
      </c>
      <c r="L309" s="27"/>
      <c r="N309" s="2" t="n">
        <f aca="false">IF(I309="",0,MAX(0,MIN(N(F309),INDEX('Notes and sources'!$C$12:$D$12,1,'Start here'!$C$11)-(I309-N(F309)))))</f>
        <v>0</v>
      </c>
      <c r="O309" s="2" t="n">
        <f aca="false">IF(I309="",0,N(F309)-N309)</f>
        <v>0</v>
      </c>
      <c r="P309" s="2" t="str">
        <f aca="false">IF(A309="","",IF(AND(MONTH(A309)=4,DAY(A309)&lt;6),13,MOD(MONTH(A309)-4,12)+1))</f>
        <v/>
      </c>
    </row>
    <row r="310" customFormat="false" ht="15" hidden="false" customHeight="false" outlineLevel="0" collapsed="false">
      <c r="A310" s="21"/>
      <c r="B310" s="6"/>
      <c r="C310" s="6"/>
      <c r="D310" s="6"/>
      <c r="E310" s="6"/>
      <c r="F310" s="22"/>
      <c r="G310" s="23"/>
      <c r="H310" s="24" t="str">
        <f aca="false">IF(B310="","",IFERROR(INDEX('Start here'!$C$16:$C$20,MATCH(B310,'Start here'!$B$16:$B$20,0)),"Check vehicle"))</f>
        <v/>
      </c>
      <c r="I310" s="25" t="str">
        <f aca="false">IF(OR(F310="",H310&lt;&gt;"Car or van"),"",SUMIFS($F$6:F310,$H$6:H310,"Car or van"))</f>
        <v/>
      </c>
      <c r="J310" s="24" t="str">
        <f aca="false">IF(F310="","",IF(H310="Car or van",IF(O310=0,TEXT(INDEX('Notes and sources'!$C$6:$D$6,1,'Start here'!$C$11)*100,"0")&amp;"p",IF(N310=0,TEXT(INDEX('Notes and sources'!$C$7:$D$7,1,'Start here'!$C$11)*100,"0")&amp;"p",TEXT(INDEX('Notes and sources'!$C$6:$D$6,1,'Start here'!$C$11)*100,"0")&amp;"p/"&amp;TEXT(INDEX('Notes and sources'!$C$7:$D$7,1,'Start here'!$C$11)*100,"0")&amp;"p")),IF(H310="Motorcycle",TEXT(INDEX('Notes and sources'!$C$8:$D$8,1,'Start here'!$C$11)*100,"0")&amp;"p",IF(H310="Bicycle",TEXT(INDEX('Notes and sources'!$C$9:$D$9,1,'Start here'!$C$11)*100,"0")&amp;"p",""))))</f>
        <v/>
      </c>
      <c r="K310" s="26" t="str">
        <f aca="false">IF(F310="","",ROUND(IF(H310="Car or van",N310*INDEX('Notes and sources'!$C$6:$D$6,1,'Start here'!$C$11)+O310*INDEX('Notes and sources'!$C$7:$D$7,1,'Start here'!$C$11)+N(G310)*N(F310)*INDEX('Notes and sources'!$C$10:$D$10,1,'Start here'!$C$11),IF(H310="Motorcycle",N(F310)*INDEX('Notes and sources'!$C$8:$D$8,1,'Start here'!$C$11),IF(H310="Bicycle",N(F310)*INDEX('Notes and sources'!$C$9:$D$9,1,'Start here'!$C$11),0))),2))</f>
        <v/>
      </c>
      <c r="L310" s="27"/>
      <c r="N310" s="2" t="n">
        <f aca="false">IF(I310="",0,MAX(0,MIN(N(F310),INDEX('Notes and sources'!$C$12:$D$12,1,'Start here'!$C$11)-(I310-N(F310)))))</f>
        <v>0</v>
      </c>
      <c r="O310" s="2" t="n">
        <f aca="false">IF(I310="",0,N(F310)-N310)</f>
        <v>0</v>
      </c>
      <c r="P310" s="2" t="str">
        <f aca="false">IF(A310="","",IF(AND(MONTH(A310)=4,DAY(A310)&lt;6),13,MOD(MONTH(A310)-4,12)+1))</f>
        <v/>
      </c>
    </row>
    <row r="311" customFormat="false" ht="15" hidden="false" customHeight="false" outlineLevel="0" collapsed="false">
      <c r="A311" s="21"/>
      <c r="B311" s="6"/>
      <c r="C311" s="6"/>
      <c r="D311" s="6"/>
      <c r="E311" s="6"/>
      <c r="F311" s="22"/>
      <c r="G311" s="23"/>
      <c r="H311" s="24" t="str">
        <f aca="false">IF(B311="","",IFERROR(INDEX('Start here'!$C$16:$C$20,MATCH(B311,'Start here'!$B$16:$B$20,0)),"Check vehicle"))</f>
        <v/>
      </c>
      <c r="I311" s="25" t="str">
        <f aca="false">IF(OR(F311="",H311&lt;&gt;"Car or van"),"",SUMIFS($F$6:F311,$H$6:H311,"Car or van"))</f>
        <v/>
      </c>
      <c r="J311" s="24" t="str">
        <f aca="false">IF(F311="","",IF(H311="Car or van",IF(O311=0,TEXT(INDEX('Notes and sources'!$C$6:$D$6,1,'Start here'!$C$11)*100,"0")&amp;"p",IF(N311=0,TEXT(INDEX('Notes and sources'!$C$7:$D$7,1,'Start here'!$C$11)*100,"0")&amp;"p",TEXT(INDEX('Notes and sources'!$C$6:$D$6,1,'Start here'!$C$11)*100,"0")&amp;"p/"&amp;TEXT(INDEX('Notes and sources'!$C$7:$D$7,1,'Start here'!$C$11)*100,"0")&amp;"p")),IF(H311="Motorcycle",TEXT(INDEX('Notes and sources'!$C$8:$D$8,1,'Start here'!$C$11)*100,"0")&amp;"p",IF(H311="Bicycle",TEXT(INDEX('Notes and sources'!$C$9:$D$9,1,'Start here'!$C$11)*100,"0")&amp;"p",""))))</f>
        <v/>
      </c>
      <c r="K311" s="26" t="str">
        <f aca="false">IF(F311="","",ROUND(IF(H311="Car or van",N311*INDEX('Notes and sources'!$C$6:$D$6,1,'Start here'!$C$11)+O311*INDEX('Notes and sources'!$C$7:$D$7,1,'Start here'!$C$11)+N(G311)*N(F311)*INDEX('Notes and sources'!$C$10:$D$10,1,'Start here'!$C$11),IF(H311="Motorcycle",N(F311)*INDEX('Notes and sources'!$C$8:$D$8,1,'Start here'!$C$11),IF(H311="Bicycle",N(F311)*INDEX('Notes and sources'!$C$9:$D$9,1,'Start here'!$C$11),0))),2))</f>
        <v/>
      </c>
      <c r="L311" s="27"/>
      <c r="N311" s="2" t="n">
        <f aca="false">IF(I311="",0,MAX(0,MIN(N(F311),INDEX('Notes and sources'!$C$12:$D$12,1,'Start here'!$C$11)-(I311-N(F311)))))</f>
        <v>0</v>
      </c>
      <c r="O311" s="2" t="n">
        <f aca="false">IF(I311="",0,N(F311)-N311)</f>
        <v>0</v>
      </c>
      <c r="P311" s="2" t="str">
        <f aca="false">IF(A311="","",IF(AND(MONTH(A311)=4,DAY(A311)&lt;6),13,MOD(MONTH(A311)-4,12)+1))</f>
        <v/>
      </c>
    </row>
    <row r="312" customFormat="false" ht="15" hidden="false" customHeight="false" outlineLevel="0" collapsed="false">
      <c r="A312" s="21"/>
      <c r="B312" s="6"/>
      <c r="C312" s="6"/>
      <c r="D312" s="6"/>
      <c r="E312" s="6"/>
      <c r="F312" s="22"/>
      <c r="G312" s="23"/>
      <c r="H312" s="24" t="str">
        <f aca="false">IF(B312="","",IFERROR(INDEX('Start here'!$C$16:$C$20,MATCH(B312,'Start here'!$B$16:$B$20,0)),"Check vehicle"))</f>
        <v/>
      </c>
      <c r="I312" s="25" t="str">
        <f aca="false">IF(OR(F312="",H312&lt;&gt;"Car or van"),"",SUMIFS($F$6:F312,$H$6:H312,"Car or van"))</f>
        <v/>
      </c>
      <c r="J312" s="24" t="str">
        <f aca="false">IF(F312="","",IF(H312="Car or van",IF(O312=0,TEXT(INDEX('Notes and sources'!$C$6:$D$6,1,'Start here'!$C$11)*100,"0")&amp;"p",IF(N312=0,TEXT(INDEX('Notes and sources'!$C$7:$D$7,1,'Start here'!$C$11)*100,"0")&amp;"p",TEXT(INDEX('Notes and sources'!$C$6:$D$6,1,'Start here'!$C$11)*100,"0")&amp;"p/"&amp;TEXT(INDEX('Notes and sources'!$C$7:$D$7,1,'Start here'!$C$11)*100,"0")&amp;"p")),IF(H312="Motorcycle",TEXT(INDEX('Notes and sources'!$C$8:$D$8,1,'Start here'!$C$11)*100,"0")&amp;"p",IF(H312="Bicycle",TEXT(INDEX('Notes and sources'!$C$9:$D$9,1,'Start here'!$C$11)*100,"0")&amp;"p",""))))</f>
        <v/>
      </c>
      <c r="K312" s="26" t="str">
        <f aca="false">IF(F312="","",ROUND(IF(H312="Car or van",N312*INDEX('Notes and sources'!$C$6:$D$6,1,'Start here'!$C$11)+O312*INDEX('Notes and sources'!$C$7:$D$7,1,'Start here'!$C$11)+N(G312)*N(F312)*INDEX('Notes and sources'!$C$10:$D$10,1,'Start here'!$C$11),IF(H312="Motorcycle",N(F312)*INDEX('Notes and sources'!$C$8:$D$8,1,'Start here'!$C$11),IF(H312="Bicycle",N(F312)*INDEX('Notes and sources'!$C$9:$D$9,1,'Start here'!$C$11),0))),2))</f>
        <v/>
      </c>
      <c r="L312" s="27"/>
      <c r="N312" s="2" t="n">
        <f aca="false">IF(I312="",0,MAX(0,MIN(N(F312),INDEX('Notes and sources'!$C$12:$D$12,1,'Start here'!$C$11)-(I312-N(F312)))))</f>
        <v>0</v>
      </c>
      <c r="O312" s="2" t="n">
        <f aca="false">IF(I312="",0,N(F312)-N312)</f>
        <v>0</v>
      </c>
      <c r="P312" s="2" t="str">
        <f aca="false">IF(A312="","",IF(AND(MONTH(A312)=4,DAY(A312)&lt;6),13,MOD(MONTH(A312)-4,12)+1))</f>
        <v/>
      </c>
    </row>
    <row r="313" customFormat="false" ht="15" hidden="false" customHeight="false" outlineLevel="0" collapsed="false">
      <c r="A313" s="21"/>
      <c r="B313" s="6"/>
      <c r="C313" s="6"/>
      <c r="D313" s="6"/>
      <c r="E313" s="6"/>
      <c r="F313" s="22"/>
      <c r="G313" s="23"/>
      <c r="H313" s="24" t="str">
        <f aca="false">IF(B313="","",IFERROR(INDEX('Start here'!$C$16:$C$20,MATCH(B313,'Start here'!$B$16:$B$20,0)),"Check vehicle"))</f>
        <v/>
      </c>
      <c r="I313" s="25" t="str">
        <f aca="false">IF(OR(F313="",H313&lt;&gt;"Car or van"),"",SUMIFS($F$6:F313,$H$6:H313,"Car or van"))</f>
        <v/>
      </c>
      <c r="J313" s="24" t="str">
        <f aca="false">IF(F313="","",IF(H313="Car or van",IF(O313=0,TEXT(INDEX('Notes and sources'!$C$6:$D$6,1,'Start here'!$C$11)*100,"0")&amp;"p",IF(N313=0,TEXT(INDEX('Notes and sources'!$C$7:$D$7,1,'Start here'!$C$11)*100,"0")&amp;"p",TEXT(INDEX('Notes and sources'!$C$6:$D$6,1,'Start here'!$C$11)*100,"0")&amp;"p/"&amp;TEXT(INDEX('Notes and sources'!$C$7:$D$7,1,'Start here'!$C$11)*100,"0")&amp;"p")),IF(H313="Motorcycle",TEXT(INDEX('Notes and sources'!$C$8:$D$8,1,'Start here'!$C$11)*100,"0")&amp;"p",IF(H313="Bicycle",TEXT(INDEX('Notes and sources'!$C$9:$D$9,1,'Start here'!$C$11)*100,"0")&amp;"p",""))))</f>
        <v/>
      </c>
      <c r="K313" s="26" t="str">
        <f aca="false">IF(F313="","",ROUND(IF(H313="Car or van",N313*INDEX('Notes and sources'!$C$6:$D$6,1,'Start here'!$C$11)+O313*INDEX('Notes and sources'!$C$7:$D$7,1,'Start here'!$C$11)+N(G313)*N(F313)*INDEX('Notes and sources'!$C$10:$D$10,1,'Start here'!$C$11),IF(H313="Motorcycle",N(F313)*INDEX('Notes and sources'!$C$8:$D$8,1,'Start here'!$C$11),IF(H313="Bicycle",N(F313)*INDEX('Notes and sources'!$C$9:$D$9,1,'Start here'!$C$11),0))),2))</f>
        <v/>
      </c>
      <c r="L313" s="27"/>
      <c r="N313" s="2" t="n">
        <f aca="false">IF(I313="",0,MAX(0,MIN(N(F313),INDEX('Notes and sources'!$C$12:$D$12,1,'Start here'!$C$11)-(I313-N(F313)))))</f>
        <v>0</v>
      </c>
      <c r="O313" s="2" t="n">
        <f aca="false">IF(I313="",0,N(F313)-N313)</f>
        <v>0</v>
      </c>
      <c r="P313" s="2" t="str">
        <f aca="false">IF(A313="","",IF(AND(MONTH(A313)=4,DAY(A313)&lt;6),13,MOD(MONTH(A313)-4,12)+1))</f>
        <v/>
      </c>
    </row>
    <row r="314" customFormat="false" ht="15" hidden="false" customHeight="false" outlineLevel="0" collapsed="false">
      <c r="A314" s="21"/>
      <c r="B314" s="6"/>
      <c r="C314" s="6"/>
      <c r="D314" s="6"/>
      <c r="E314" s="6"/>
      <c r="F314" s="22"/>
      <c r="G314" s="23"/>
      <c r="H314" s="24" t="str">
        <f aca="false">IF(B314="","",IFERROR(INDEX('Start here'!$C$16:$C$20,MATCH(B314,'Start here'!$B$16:$B$20,0)),"Check vehicle"))</f>
        <v/>
      </c>
      <c r="I314" s="25" t="str">
        <f aca="false">IF(OR(F314="",H314&lt;&gt;"Car or van"),"",SUMIFS($F$6:F314,$H$6:H314,"Car or van"))</f>
        <v/>
      </c>
      <c r="J314" s="24" t="str">
        <f aca="false">IF(F314="","",IF(H314="Car or van",IF(O314=0,TEXT(INDEX('Notes and sources'!$C$6:$D$6,1,'Start here'!$C$11)*100,"0")&amp;"p",IF(N314=0,TEXT(INDEX('Notes and sources'!$C$7:$D$7,1,'Start here'!$C$11)*100,"0")&amp;"p",TEXT(INDEX('Notes and sources'!$C$6:$D$6,1,'Start here'!$C$11)*100,"0")&amp;"p/"&amp;TEXT(INDEX('Notes and sources'!$C$7:$D$7,1,'Start here'!$C$11)*100,"0")&amp;"p")),IF(H314="Motorcycle",TEXT(INDEX('Notes and sources'!$C$8:$D$8,1,'Start here'!$C$11)*100,"0")&amp;"p",IF(H314="Bicycle",TEXT(INDEX('Notes and sources'!$C$9:$D$9,1,'Start here'!$C$11)*100,"0")&amp;"p",""))))</f>
        <v/>
      </c>
      <c r="K314" s="26" t="str">
        <f aca="false">IF(F314="","",ROUND(IF(H314="Car or van",N314*INDEX('Notes and sources'!$C$6:$D$6,1,'Start here'!$C$11)+O314*INDEX('Notes and sources'!$C$7:$D$7,1,'Start here'!$C$11)+N(G314)*N(F314)*INDEX('Notes and sources'!$C$10:$D$10,1,'Start here'!$C$11),IF(H314="Motorcycle",N(F314)*INDEX('Notes and sources'!$C$8:$D$8,1,'Start here'!$C$11),IF(H314="Bicycle",N(F314)*INDEX('Notes and sources'!$C$9:$D$9,1,'Start here'!$C$11),0))),2))</f>
        <v/>
      </c>
      <c r="L314" s="27"/>
      <c r="N314" s="2" t="n">
        <f aca="false">IF(I314="",0,MAX(0,MIN(N(F314),INDEX('Notes and sources'!$C$12:$D$12,1,'Start here'!$C$11)-(I314-N(F314)))))</f>
        <v>0</v>
      </c>
      <c r="O314" s="2" t="n">
        <f aca="false">IF(I314="",0,N(F314)-N314)</f>
        <v>0</v>
      </c>
      <c r="P314" s="2" t="str">
        <f aca="false">IF(A314="","",IF(AND(MONTH(A314)=4,DAY(A314)&lt;6),13,MOD(MONTH(A314)-4,12)+1))</f>
        <v/>
      </c>
    </row>
    <row r="315" customFormat="false" ht="15" hidden="false" customHeight="false" outlineLevel="0" collapsed="false">
      <c r="A315" s="21"/>
      <c r="B315" s="6"/>
      <c r="C315" s="6"/>
      <c r="D315" s="6"/>
      <c r="E315" s="6"/>
      <c r="F315" s="22"/>
      <c r="G315" s="23"/>
      <c r="H315" s="24" t="str">
        <f aca="false">IF(B315="","",IFERROR(INDEX('Start here'!$C$16:$C$20,MATCH(B315,'Start here'!$B$16:$B$20,0)),"Check vehicle"))</f>
        <v/>
      </c>
      <c r="I315" s="25" t="str">
        <f aca="false">IF(OR(F315="",H315&lt;&gt;"Car or van"),"",SUMIFS($F$6:F315,$H$6:H315,"Car or van"))</f>
        <v/>
      </c>
      <c r="J315" s="24" t="str">
        <f aca="false">IF(F315="","",IF(H315="Car or van",IF(O315=0,TEXT(INDEX('Notes and sources'!$C$6:$D$6,1,'Start here'!$C$11)*100,"0")&amp;"p",IF(N315=0,TEXT(INDEX('Notes and sources'!$C$7:$D$7,1,'Start here'!$C$11)*100,"0")&amp;"p",TEXT(INDEX('Notes and sources'!$C$6:$D$6,1,'Start here'!$C$11)*100,"0")&amp;"p/"&amp;TEXT(INDEX('Notes and sources'!$C$7:$D$7,1,'Start here'!$C$11)*100,"0")&amp;"p")),IF(H315="Motorcycle",TEXT(INDEX('Notes and sources'!$C$8:$D$8,1,'Start here'!$C$11)*100,"0")&amp;"p",IF(H315="Bicycle",TEXT(INDEX('Notes and sources'!$C$9:$D$9,1,'Start here'!$C$11)*100,"0")&amp;"p",""))))</f>
        <v/>
      </c>
      <c r="K315" s="26" t="str">
        <f aca="false">IF(F315="","",ROUND(IF(H315="Car or van",N315*INDEX('Notes and sources'!$C$6:$D$6,1,'Start here'!$C$11)+O315*INDEX('Notes and sources'!$C$7:$D$7,1,'Start here'!$C$11)+N(G315)*N(F315)*INDEX('Notes and sources'!$C$10:$D$10,1,'Start here'!$C$11),IF(H315="Motorcycle",N(F315)*INDEX('Notes and sources'!$C$8:$D$8,1,'Start here'!$C$11),IF(H315="Bicycle",N(F315)*INDEX('Notes and sources'!$C$9:$D$9,1,'Start here'!$C$11),0))),2))</f>
        <v/>
      </c>
      <c r="L315" s="27"/>
      <c r="N315" s="2" t="n">
        <f aca="false">IF(I315="",0,MAX(0,MIN(N(F315),INDEX('Notes and sources'!$C$12:$D$12,1,'Start here'!$C$11)-(I315-N(F315)))))</f>
        <v>0</v>
      </c>
      <c r="O315" s="2" t="n">
        <f aca="false">IF(I315="",0,N(F315)-N315)</f>
        <v>0</v>
      </c>
      <c r="P315" s="2" t="str">
        <f aca="false">IF(A315="","",IF(AND(MONTH(A315)=4,DAY(A315)&lt;6),13,MOD(MONTH(A315)-4,12)+1))</f>
        <v/>
      </c>
    </row>
    <row r="316" customFormat="false" ht="15" hidden="false" customHeight="false" outlineLevel="0" collapsed="false">
      <c r="A316" s="21"/>
      <c r="B316" s="6"/>
      <c r="C316" s="6"/>
      <c r="D316" s="6"/>
      <c r="E316" s="6"/>
      <c r="F316" s="22"/>
      <c r="G316" s="23"/>
      <c r="H316" s="24" t="str">
        <f aca="false">IF(B316="","",IFERROR(INDEX('Start here'!$C$16:$C$20,MATCH(B316,'Start here'!$B$16:$B$20,0)),"Check vehicle"))</f>
        <v/>
      </c>
      <c r="I316" s="25" t="str">
        <f aca="false">IF(OR(F316="",H316&lt;&gt;"Car or van"),"",SUMIFS($F$6:F316,$H$6:H316,"Car or van"))</f>
        <v/>
      </c>
      <c r="J316" s="24" t="str">
        <f aca="false">IF(F316="","",IF(H316="Car or van",IF(O316=0,TEXT(INDEX('Notes and sources'!$C$6:$D$6,1,'Start here'!$C$11)*100,"0")&amp;"p",IF(N316=0,TEXT(INDEX('Notes and sources'!$C$7:$D$7,1,'Start here'!$C$11)*100,"0")&amp;"p",TEXT(INDEX('Notes and sources'!$C$6:$D$6,1,'Start here'!$C$11)*100,"0")&amp;"p/"&amp;TEXT(INDEX('Notes and sources'!$C$7:$D$7,1,'Start here'!$C$11)*100,"0")&amp;"p")),IF(H316="Motorcycle",TEXT(INDEX('Notes and sources'!$C$8:$D$8,1,'Start here'!$C$11)*100,"0")&amp;"p",IF(H316="Bicycle",TEXT(INDEX('Notes and sources'!$C$9:$D$9,1,'Start here'!$C$11)*100,"0")&amp;"p",""))))</f>
        <v/>
      </c>
      <c r="K316" s="26" t="str">
        <f aca="false">IF(F316="","",ROUND(IF(H316="Car or van",N316*INDEX('Notes and sources'!$C$6:$D$6,1,'Start here'!$C$11)+O316*INDEX('Notes and sources'!$C$7:$D$7,1,'Start here'!$C$11)+N(G316)*N(F316)*INDEX('Notes and sources'!$C$10:$D$10,1,'Start here'!$C$11),IF(H316="Motorcycle",N(F316)*INDEX('Notes and sources'!$C$8:$D$8,1,'Start here'!$C$11),IF(H316="Bicycle",N(F316)*INDEX('Notes and sources'!$C$9:$D$9,1,'Start here'!$C$11),0))),2))</f>
        <v/>
      </c>
      <c r="L316" s="27"/>
      <c r="N316" s="2" t="n">
        <f aca="false">IF(I316="",0,MAX(0,MIN(N(F316),INDEX('Notes and sources'!$C$12:$D$12,1,'Start here'!$C$11)-(I316-N(F316)))))</f>
        <v>0</v>
      </c>
      <c r="O316" s="2" t="n">
        <f aca="false">IF(I316="",0,N(F316)-N316)</f>
        <v>0</v>
      </c>
      <c r="P316" s="2" t="str">
        <f aca="false">IF(A316="","",IF(AND(MONTH(A316)=4,DAY(A316)&lt;6),13,MOD(MONTH(A316)-4,12)+1))</f>
        <v/>
      </c>
    </row>
    <row r="317" customFormat="false" ht="15" hidden="false" customHeight="false" outlineLevel="0" collapsed="false">
      <c r="A317" s="21"/>
      <c r="B317" s="6"/>
      <c r="C317" s="6"/>
      <c r="D317" s="6"/>
      <c r="E317" s="6"/>
      <c r="F317" s="22"/>
      <c r="G317" s="23"/>
      <c r="H317" s="24" t="str">
        <f aca="false">IF(B317="","",IFERROR(INDEX('Start here'!$C$16:$C$20,MATCH(B317,'Start here'!$B$16:$B$20,0)),"Check vehicle"))</f>
        <v/>
      </c>
      <c r="I317" s="25" t="str">
        <f aca="false">IF(OR(F317="",H317&lt;&gt;"Car or van"),"",SUMIFS($F$6:F317,$H$6:H317,"Car or van"))</f>
        <v/>
      </c>
      <c r="J317" s="24" t="str">
        <f aca="false">IF(F317="","",IF(H317="Car or van",IF(O317=0,TEXT(INDEX('Notes and sources'!$C$6:$D$6,1,'Start here'!$C$11)*100,"0")&amp;"p",IF(N317=0,TEXT(INDEX('Notes and sources'!$C$7:$D$7,1,'Start here'!$C$11)*100,"0")&amp;"p",TEXT(INDEX('Notes and sources'!$C$6:$D$6,1,'Start here'!$C$11)*100,"0")&amp;"p/"&amp;TEXT(INDEX('Notes and sources'!$C$7:$D$7,1,'Start here'!$C$11)*100,"0")&amp;"p")),IF(H317="Motorcycle",TEXT(INDEX('Notes and sources'!$C$8:$D$8,1,'Start here'!$C$11)*100,"0")&amp;"p",IF(H317="Bicycle",TEXT(INDEX('Notes and sources'!$C$9:$D$9,1,'Start here'!$C$11)*100,"0")&amp;"p",""))))</f>
        <v/>
      </c>
      <c r="K317" s="26" t="str">
        <f aca="false">IF(F317="","",ROUND(IF(H317="Car or van",N317*INDEX('Notes and sources'!$C$6:$D$6,1,'Start here'!$C$11)+O317*INDEX('Notes and sources'!$C$7:$D$7,1,'Start here'!$C$11)+N(G317)*N(F317)*INDEX('Notes and sources'!$C$10:$D$10,1,'Start here'!$C$11),IF(H317="Motorcycle",N(F317)*INDEX('Notes and sources'!$C$8:$D$8,1,'Start here'!$C$11),IF(H317="Bicycle",N(F317)*INDEX('Notes and sources'!$C$9:$D$9,1,'Start here'!$C$11),0))),2))</f>
        <v/>
      </c>
      <c r="L317" s="27"/>
      <c r="N317" s="2" t="n">
        <f aca="false">IF(I317="",0,MAX(0,MIN(N(F317),INDEX('Notes and sources'!$C$12:$D$12,1,'Start here'!$C$11)-(I317-N(F317)))))</f>
        <v>0</v>
      </c>
      <c r="O317" s="2" t="n">
        <f aca="false">IF(I317="",0,N(F317)-N317)</f>
        <v>0</v>
      </c>
      <c r="P317" s="2" t="str">
        <f aca="false">IF(A317="","",IF(AND(MONTH(A317)=4,DAY(A317)&lt;6),13,MOD(MONTH(A317)-4,12)+1))</f>
        <v/>
      </c>
    </row>
    <row r="318" customFormat="false" ht="15" hidden="false" customHeight="false" outlineLevel="0" collapsed="false">
      <c r="A318" s="21"/>
      <c r="B318" s="6"/>
      <c r="C318" s="6"/>
      <c r="D318" s="6"/>
      <c r="E318" s="6"/>
      <c r="F318" s="22"/>
      <c r="G318" s="23"/>
      <c r="H318" s="24" t="str">
        <f aca="false">IF(B318="","",IFERROR(INDEX('Start here'!$C$16:$C$20,MATCH(B318,'Start here'!$B$16:$B$20,0)),"Check vehicle"))</f>
        <v/>
      </c>
      <c r="I318" s="25" t="str">
        <f aca="false">IF(OR(F318="",H318&lt;&gt;"Car or van"),"",SUMIFS($F$6:F318,$H$6:H318,"Car or van"))</f>
        <v/>
      </c>
      <c r="J318" s="24" t="str">
        <f aca="false">IF(F318="","",IF(H318="Car or van",IF(O318=0,TEXT(INDEX('Notes and sources'!$C$6:$D$6,1,'Start here'!$C$11)*100,"0")&amp;"p",IF(N318=0,TEXT(INDEX('Notes and sources'!$C$7:$D$7,1,'Start here'!$C$11)*100,"0")&amp;"p",TEXT(INDEX('Notes and sources'!$C$6:$D$6,1,'Start here'!$C$11)*100,"0")&amp;"p/"&amp;TEXT(INDEX('Notes and sources'!$C$7:$D$7,1,'Start here'!$C$11)*100,"0")&amp;"p")),IF(H318="Motorcycle",TEXT(INDEX('Notes and sources'!$C$8:$D$8,1,'Start here'!$C$11)*100,"0")&amp;"p",IF(H318="Bicycle",TEXT(INDEX('Notes and sources'!$C$9:$D$9,1,'Start here'!$C$11)*100,"0")&amp;"p",""))))</f>
        <v/>
      </c>
      <c r="K318" s="26" t="str">
        <f aca="false">IF(F318="","",ROUND(IF(H318="Car or van",N318*INDEX('Notes and sources'!$C$6:$D$6,1,'Start here'!$C$11)+O318*INDEX('Notes and sources'!$C$7:$D$7,1,'Start here'!$C$11)+N(G318)*N(F318)*INDEX('Notes and sources'!$C$10:$D$10,1,'Start here'!$C$11),IF(H318="Motorcycle",N(F318)*INDEX('Notes and sources'!$C$8:$D$8,1,'Start here'!$C$11),IF(H318="Bicycle",N(F318)*INDEX('Notes and sources'!$C$9:$D$9,1,'Start here'!$C$11),0))),2))</f>
        <v/>
      </c>
      <c r="L318" s="27"/>
      <c r="N318" s="2" t="n">
        <f aca="false">IF(I318="",0,MAX(0,MIN(N(F318),INDEX('Notes and sources'!$C$12:$D$12,1,'Start here'!$C$11)-(I318-N(F318)))))</f>
        <v>0</v>
      </c>
      <c r="O318" s="2" t="n">
        <f aca="false">IF(I318="",0,N(F318)-N318)</f>
        <v>0</v>
      </c>
      <c r="P318" s="2" t="str">
        <f aca="false">IF(A318="","",IF(AND(MONTH(A318)=4,DAY(A318)&lt;6),13,MOD(MONTH(A318)-4,12)+1))</f>
        <v/>
      </c>
    </row>
    <row r="319" customFormat="false" ht="15" hidden="false" customHeight="false" outlineLevel="0" collapsed="false">
      <c r="A319" s="21"/>
      <c r="B319" s="6"/>
      <c r="C319" s="6"/>
      <c r="D319" s="6"/>
      <c r="E319" s="6"/>
      <c r="F319" s="22"/>
      <c r="G319" s="23"/>
      <c r="H319" s="24" t="str">
        <f aca="false">IF(B319="","",IFERROR(INDEX('Start here'!$C$16:$C$20,MATCH(B319,'Start here'!$B$16:$B$20,0)),"Check vehicle"))</f>
        <v/>
      </c>
      <c r="I319" s="25" t="str">
        <f aca="false">IF(OR(F319="",H319&lt;&gt;"Car or van"),"",SUMIFS($F$6:F319,$H$6:H319,"Car or van"))</f>
        <v/>
      </c>
      <c r="J319" s="24" t="str">
        <f aca="false">IF(F319="","",IF(H319="Car or van",IF(O319=0,TEXT(INDEX('Notes and sources'!$C$6:$D$6,1,'Start here'!$C$11)*100,"0")&amp;"p",IF(N319=0,TEXT(INDEX('Notes and sources'!$C$7:$D$7,1,'Start here'!$C$11)*100,"0")&amp;"p",TEXT(INDEX('Notes and sources'!$C$6:$D$6,1,'Start here'!$C$11)*100,"0")&amp;"p/"&amp;TEXT(INDEX('Notes and sources'!$C$7:$D$7,1,'Start here'!$C$11)*100,"0")&amp;"p")),IF(H319="Motorcycle",TEXT(INDEX('Notes and sources'!$C$8:$D$8,1,'Start here'!$C$11)*100,"0")&amp;"p",IF(H319="Bicycle",TEXT(INDEX('Notes and sources'!$C$9:$D$9,1,'Start here'!$C$11)*100,"0")&amp;"p",""))))</f>
        <v/>
      </c>
      <c r="K319" s="26" t="str">
        <f aca="false">IF(F319="","",ROUND(IF(H319="Car or van",N319*INDEX('Notes and sources'!$C$6:$D$6,1,'Start here'!$C$11)+O319*INDEX('Notes and sources'!$C$7:$D$7,1,'Start here'!$C$11)+N(G319)*N(F319)*INDEX('Notes and sources'!$C$10:$D$10,1,'Start here'!$C$11),IF(H319="Motorcycle",N(F319)*INDEX('Notes and sources'!$C$8:$D$8,1,'Start here'!$C$11),IF(H319="Bicycle",N(F319)*INDEX('Notes and sources'!$C$9:$D$9,1,'Start here'!$C$11),0))),2))</f>
        <v/>
      </c>
      <c r="L319" s="27"/>
      <c r="N319" s="2" t="n">
        <f aca="false">IF(I319="",0,MAX(0,MIN(N(F319),INDEX('Notes and sources'!$C$12:$D$12,1,'Start here'!$C$11)-(I319-N(F319)))))</f>
        <v>0</v>
      </c>
      <c r="O319" s="2" t="n">
        <f aca="false">IF(I319="",0,N(F319)-N319)</f>
        <v>0</v>
      </c>
      <c r="P319" s="2" t="str">
        <f aca="false">IF(A319="","",IF(AND(MONTH(A319)=4,DAY(A319)&lt;6),13,MOD(MONTH(A319)-4,12)+1))</f>
        <v/>
      </c>
    </row>
    <row r="320" customFormat="false" ht="15" hidden="false" customHeight="false" outlineLevel="0" collapsed="false">
      <c r="A320" s="21"/>
      <c r="B320" s="6"/>
      <c r="C320" s="6"/>
      <c r="D320" s="6"/>
      <c r="E320" s="6"/>
      <c r="F320" s="22"/>
      <c r="G320" s="23"/>
      <c r="H320" s="24" t="str">
        <f aca="false">IF(B320="","",IFERROR(INDEX('Start here'!$C$16:$C$20,MATCH(B320,'Start here'!$B$16:$B$20,0)),"Check vehicle"))</f>
        <v/>
      </c>
      <c r="I320" s="25" t="str">
        <f aca="false">IF(OR(F320="",H320&lt;&gt;"Car or van"),"",SUMIFS($F$6:F320,$H$6:H320,"Car or van"))</f>
        <v/>
      </c>
      <c r="J320" s="24" t="str">
        <f aca="false">IF(F320="","",IF(H320="Car or van",IF(O320=0,TEXT(INDEX('Notes and sources'!$C$6:$D$6,1,'Start here'!$C$11)*100,"0")&amp;"p",IF(N320=0,TEXT(INDEX('Notes and sources'!$C$7:$D$7,1,'Start here'!$C$11)*100,"0")&amp;"p",TEXT(INDEX('Notes and sources'!$C$6:$D$6,1,'Start here'!$C$11)*100,"0")&amp;"p/"&amp;TEXT(INDEX('Notes and sources'!$C$7:$D$7,1,'Start here'!$C$11)*100,"0")&amp;"p")),IF(H320="Motorcycle",TEXT(INDEX('Notes and sources'!$C$8:$D$8,1,'Start here'!$C$11)*100,"0")&amp;"p",IF(H320="Bicycle",TEXT(INDEX('Notes and sources'!$C$9:$D$9,1,'Start here'!$C$11)*100,"0")&amp;"p",""))))</f>
        <v/>
      </c>
      <c r="K320" s="26" t="str">
        <f aca="false">IF(F320="","",ROUND(IF(H320="Car or van",N320*INDEX('Notes and sources'!$C$6:$D$6,1,'Start here'!$C$11)+O320*INDEX('Notes and sources'!$C$7:$D$7,1,'Start here'!$C$11)+N(G320)*N(F320)*INDEX('Notes and sources'!$C$10:$D$10,1,'Start here'!$C$11),IF(H320="Motorcycle",N(F320)*INDEX('Notes and sources'!$C$8:$D$8,1,'Start here'!$C$11),IF(H320="Bicycle",N(F320)*INDEX('Notes and sources'!$C$9:$D$9,1,'Start here'!$C$11),0))),2))</f>
        <v/>
      </c>
      <c r="L320" s="27"/>
      <c r="N320" s="2" t="n">
        <f aca="false">IF(I320="",0,MAX(0,MIN(N(F320),INDEX('Notes and sources'!$C$12:$D$12,1,'Start here'!$C$11)-(I320-N(F320)))))</f>
        <v>0</v>
      </c>
      <c r="O320" s="2" t="n">
        <f aca="false">IF(I320="",0,N(F320)-N320)</f>
        <v>0</v>
      </c>
      <c r="P320" s="2" t="str">
        <f aca="false">IF(A320="","",IF(AND(MONTH(A320)=4,DAY(A320)&lt;6),13,MOD(MONTH(A320)-4,12)+1))</f>
        <v/>
      </c>
    </row>
    <row r="321" customFormat="false" ht="15" hidden="false" customHeight="false" outlineLevel="0" collapsed="false">
      <c r="A321" s="21"/>
      <c r="B321" s="6"/>
      <c r="C321" s="6"/>
      <c r="D321" s="6"/>
      <c r="E321" s="6"/>
      <c r="F321" s="22"/>
      <c r="G321" s="23"/>
      <c r="H321" s="24" t="str">
        <f aca="false">IF(B321="","",IFERROR(INDEX('Start here'!$C$16:$C$20,MATCH(B321,'Start here'!$B$16:$B$20,0)),"Check vehicle"))</f>
        <v/>
      </c>
      <c r="I321" s="25" t="str">
        <f aca="false">IF(OR(F321="",H321&lt;&gt;"Car or van"),"",SUMIFS($F$6:F321,$H$6:H321,"Car or van"))</f>
        <v/>
      </c>
      <c r="J321" s="24" t="str">
        <f aca="false">IF(F321="","",IF(H321="Car or van",IF(O321=0,TEXT(INDEX('Notes and sources'!$C$6:$D$6,1,'Start here'!$C$11)*100,"0")&amp;"p",IF(N321=0,TEXT(INDEX('Notes and sources'!$C$7:$D$7,1,'Start here'!$C$11)*100,"0")&amp;"p",TEXT(INDEX('Notes and sources'!$C$6:$D$6,1,'Start here'!$C$11)*100,"0")&amp;"p/"&amp;TEXT(INDEX('Notes and sources'!$C$7:$D$7,1,'Start here'!$C$11)*100,"0")&amp;"p")),IF(H321="Motorcycle",TEXT(INDEX('Notes and sources'!$C$8:$D$8,1,'Start here'!$C$11)*100,"0")&amp;"p",IF(H321="Bicycle",TEXT(INDEX('Notes and sources'!$C$9:$D$9,1,'Start here'!$C$11)*100,"0")&amp;"p",""))))</f>
        <v/>
      </c>
      <c r="K321" s="26" t="str">
        <f aca="false">IF(F321="","",ROUND(IF(H321="Car or van",N321*INDEX('Notes and sources'!$C$6:$D$6,1,'Start here'!$C$11)+O321*INDEX('Notes and sources'!$C$7:$D$7,1,'Start here'!$C$11)+N(G321)*N(F321)*INDEX('Notes and sources'!$C$10:$D$10,1,'Start here'!$C$11),IF(H321="Motorcycle",N(F321)*INDEX('Notes and sources'!$C$8:$D$8,1,'Start here'!$C$11),IF(H321="Bicycle",N(F321)*INDEX('Notes and sources'!$C$9:$D$9,1,'Start here'!$C$11),0))),2))</f>
        <v/>
      </c>
      <c r="L321" s="27"/>
      <c r="N321" s="2" t="n">
        <f aca="false">IF(I321="",0,MAX(0,MIN(N(F321),INDEX('Notes and sources'!$C$12:$D$12,1,'Start here'!$C$11)-(I321-N(F321)))))</f>
        <v>0</v>
      </c>
      <c r="O321" s="2" t="n">
        <f aca="false">IF(I321="",0,N(F321)-N321)</f>
        <v>0</v>
      </c>
      <c r="P321" s="2" t="str">
        <f aca="false">IF(A321="","",IF(AND(MONTH(A321)=4,DAY(A321)&lt;6),13,MOD(MONTH(A321)-4,12)+1))</f>
        <v/>
      </c>
    </row>
    <row r="322" customFormat="false" ht="15" hidden="false" customHeight="false" outlineLevel="0" collapsed="false">
      <c r="A322" s="21"/>
      <c r="B322" s="6"/>
      <c r="C322" s="6"/>
      <c r="D322" s="6"/>
      <c r="E322" s="6"/>
      <c r="F322" s="22"/>
      <c r="G322" s="23"/>
      <c r="H322" s="24" t="str">
        <f aca="false">IF(B322="","",IFERROR(INDEX('Start here'!$C$16:$C$20,MATCH(B322,'Start here'!$B$16:$B$20,0)),"Check vehicle"))</f>
        <v/>
      </c>
      <c r="I322" s="25" t="str">
        <f aca="false">IF(OR(F322="",H322&lt;&gt;"Car or van"),"",SUMIFS($F$6:F322,$H$6:H322,"Car or van"))</f>
        <v/>
      </c>
      <c r="J322" s="24" t="str">
        <f aca="false">IF(F322="","",IF(H322="Car or van",IF(O322=0,TEXT(INDEX('Notes and sources'!$C$6:$D$6,1,'Start here'!$C$11)*100,"0")&amp;"p",IF(N322=0,TEXT(INDEX('Notes and sources'!$C$7:$D$7,1,'Start here'!$C$11)*100,"0")&amp;"p",TEXT(INDEX('Notes and sources'!$C$6:$D$6,1,'Start here'!$C$11)*100,"0")&amp;"p/"&amp;TEXT(INDEX('Notes and sources'!$C$7:$D$7,1,'Start here'!$C$11)*100,"0")&amp;"p")),IF(H322="Motorcycle",TEXT(INDEX('Notes and sources'!$C$8:$D$8,1,'Start here'!$C$11)*100,"0")&amp;"p",IF(H322="Bicycle",TEXT(INDEX('Notes and sources'!$C$9:$D$9,1,'Start here'!$C$11)*100,"0")&amp;"p",""))))</f>
        <v/>
      </c>
      <c r="K322" s="26" t="str">
        <f aca="false">IF(F322="","",ROUND(IF(H322="Car or van",N322*INDEX('Notes and sources'!$C$6:$D$6,1,'Start here'!$C$11)+O322*INDEX('Notes and sources'!$C$7:$D$7,1,'Start here'!$C$11)+N(G322)*N(F322)*INDEX('Notes and sources'!$C$10:$D$10,1,'Start here'!$C$11),IF(H322="Motorcycle",N(F322)*INDEX('Notes and sources'!$C$8:$D$8,1,'Start here'!$C$11),IF(H322="Bicycle",N(F322)*INDEX('Notes and sources'!$C$9:$D$9,1,'Start here'!$C$11),0))),2))</f>
        <v/>
      </c>
      <c r="L322" s="27"/>
      <c r="N322" s="2" t="n">
        <f aca="false">IF(I322="",0,MAX(0,MIN(N(F322),INDEX('Notes and sources'!$C$12:$D$12,1,'Start here'!$C$11)-(I322-N(F322)))))</f>
        <v>0</v>
      </c>
      <c r="O322" s="2" t="n">
        <f aca="false">IF(I322="",0,N(F322)-N322)</f>
        <v>0</v>
      </c>
      <c r="P322" s="2" t="str">
        <f aca="false">IF(A322="","",IF(AND(MONTH(A322)=4,DAY(A322)&lt;6),13,MOD(MONTH(A322)-4,12)+1))</f>
        <v/>
      </c>
    </row>
    <row r="323" customFormat="false" ht="15" hidden="false" customHeight="false" outlineLevel="0" collapsed="false">
      <c r="A323" s="21"/>
      <c r="B323" s="6"/>
      <c r="C323" s="6"/>
      <c r="D323" s="6"/>
      <c r="E323" s="6"/>
      <c r="F323" s="22"/>
      <c r="G323" s="23"/>
      <c r="H323" s="24" t="str">
        <f aca="false">IF(B323="","",IFERROR(INDEX('Start here'!$C$16:$C$20,MATCH(B323,'Start here'!$B$16:$B$20,0)),"Check vehicle"))</f>
        <v/>
      </c>
      <c r="I323" s="25" t="str">
        <f aca="false">IF(OR(F323="",H323&lt;&gt;"Car or van"),"",SUMIFS($F$6:F323,$H$6:H323,"Car or van"))</f>
        <v/>
      </c>
      <c r="J323" s="24" t="str">
        <f aca="false">IF(F323="","",IF(H323="Car or van",IF(O323=0,TEXT(INDEX('Notes and sources'!$C$6:$D$6,1,'Start here'!$C$11)*100,"0")&amp;"p",IF(N323=0,TEXT(INDEX('Notes and sources'!$C$7:$D$7,1,'Start here'!$C$11)*100,"0")&amp;"p",TEXT(INDEX('Notes and sources'!$C$6:$D$6,1,'Start here'!$C$11)*100,"0")&amp;"p/"&amp;TEXT(INDEX('Notes and sources'!$C$7:$D$7,1,'Start here'!$C$11)*100,"0")&amp;"p")),IF(H323="Motorcycle",TEXT(INDEX('Notes and sources'!$C$8:$D$8,1,'Start here'!$C$11)*100,"0")&amp;"p",IF(H323="Bicycle",TEXT(INDEX('Notes and sources'!$C$9:$D$9,1,'Start here'!$C$11)*100,"0")&amp;"p",""))))</f>
        <v/>
      </c>
      <c r="K323" s="26" t="str">
        <f aca="false">IF(F323="","",ROUND(IF(H323="Car or van",N323*INDEX('Notes and sources'!$C$6:$D$6,1,'Start here'!$C$11)+O323*INDEX('Notes and sources'!$C$7:$D$7,1,'Start here'!$C$11)+N(G323)*N(F323)*INDEX('Notes and sources'!$C$10:$D$10,1,'Start here'!$C$11),IF(H323="Motorcycle",N(F323)*INDEX('Notes and sources'!$C$8:$D$8,1,'Start here'!$C$11),IF(H323="Bicycle",N(F323)*INDEX('Notes and sources'!$C$9:$D$9,1,'Start here'!$C$11),0))),2))</f>
        <v/>
      </c>
      <c r="L323" s="27"/>
      <c r="N323" s="2" t="n">
        <f aca="false">IF(I323="",0,MAX(0,MIN(N(F323),INDEX('Notes and sources'!$C$12:$D$12,1,'Start here'!$C$11)-(I323-N(F323)))))</f>
        <v>0</v>
      </c>
      <c r="O323" s="2" t="n">
        <f aca="false">IF(I323="",0,N(F323)-N323)</f>
        <v>0</v>
      </c>
      <c r="P323" s="2" t="str">
        <f aca="false">IF(A323="","",IF(AND(MONTH(A323)=4,DAY(A323)&lt;6),13,MOD(MONTH(A323)-4,12)+1))</f>
        <v/>
      </c>
    </row>
    <row r="324" customFormat="false" ht="15" hidden="false" customHeight="false" outlineLevel="0" collapsed="false">
      <c r="A324" s="21"/>
      <c r="B324" s="6"/>
      <c r="C324" s="6"/>
      <c r="D324" s="6"/>
      <c r="E324" s="6"/>
      <c r="F324" s="22"/>
      <c r="G324" s="23"/>
      <c r="H324" s="24" t="str">
        <f aca="false">IF(B324="","",IFERROR(INDEX('Start here'!$C$16:$C$20,MATCH(B324,'Start here'!$B$16:$B$20,0)),"Check vehicle"))</f>
        <v/>
      </c>
      <c r="I324" s="25" t="str">
        <f aca="false">IF(OR(F324="",H324&lt;&gt;"Car or van"),"",SUMIFS($F$6:F324,$H$6:H324,"Car or van"))</f>
        <v/>
      </c>
      <c r="J324" s="24" t="str">
        <f aca="false">IF(F324="","",IF(H324="Car or van",IF(O324=0,TEXT(INDEX('Notes and sources'!$C$6:$D$6,1,'Start here'!$C$11)*100,"0")&amp;"p",IF(N324=0,TEXT(INDEX('Notes and sources'!$C$7:$D$7,1,'Start here'!$C$11)*100,"0")&amp;"p",TEXT(INDEX('Notes and sources'!$C$6:$D$6,1,'Start here'!$C$11)*100,"0")&amp;"p/"&amp;TEXT(INDEX('Notes and sources'!$C$7:$D$7,1,'Start here'!$C$11)*100,"0")&amp;"p")),IF(H324="Motorcycle",TEXT(INDEX('Notes and sources'!$C$8:$D$8,1,'Start here'!$C$11)*100,"0")&amp;"p",IF(H324="Bicycle",TEXT(INDEX('Notes and sources'!$C$9:$D$9,1,'Start here'!$C$11)*100,"0")&amp;"p",""))))</f>
        <v/>
      </c>
      <c r="K324" s="26" t="str">
        <f aca="false">IF(F324="","",ROUND(IF(H324="Car or van",N324*INDEX('Notes and sources'!$C$6:$D$6,1,'Start here'!$C$11)+O324*INDEX('Notes and sources'!$C$7:$D$7,1,'Start here'!$C$11)+N(G324)*N(F324)*INDEX('Notes and sources'!$C$10:$D$10,1,'Start here'!$C$11),IF(H324="Motorcycle",N(F324)*INDEX('Notes and sources'!$C$8:$D$8,1,'Start here'!$C$11),IF(H324="Bicycle",N(F324)*INDEX('Notes and sources'!$C$9:$D$9,1,'Start here'!$C$11),0))),2))</f>
        <v/>
      </c>
      <c r="L324" s="27"/>
      <c r="N324" s="2" t="n">
        <f aca="false">IF(I324="",0,MAX(0,MIN(N(F324),INDEX('Notes and sources'!$C$12:$D$12,1,'Start here'!$C$11)-(I324-N(F324)))))</f>
        <v>0</v>
      </c>
      <c r="O324" s="2" t="n">
        <f aca="false">IF(I324="",0,N(F324)-N324)</f>
        <v>0</v>
      </c>
      <c r="P324" s="2" t="str">
        <f aca="false">IF(A324="","",IF(AND(MONTH(A324)=4,DAY(A324)&lt;6),13,MOD(MONTH(A324)-4,12)+1))</f>
        <v/>
      </c>
    </row>
    <row r="325" customFormat="false" ht="15" hidden="false" customHeight="false" outlineLevel="0" collapsed="false">
      <c r="A325" s="21"/>
      <c r="B325" s="6"/>
      <c r="C325" s="6"/>
      <c r="D325" s="6"/>
      <c r="E325" s="6"/>
      <c r="F325" s="22"/>
      <c r="G325" s="23"/>
      <c r="H325" s="24" t="str">
        <f aca="false">IF(B325="","",IFERROR(INDEX('Start here'!$C$16:$C$20,MATCH(B325,'Start here'!$B$16:$B$20,0)),"Check vehicle"))</f>
        <v/>
      </c>
      <c r="I325" s="25" t="str">
        <f aca="false">IF(OR(F325="",H325&lt;&gt;"Car or van"),"",SUMIFS($F$6:F325,$H$6:H325,"Car or van"))</f>
        <v/>
      </c>
      <c r="J325" s="24" t="str">
        <f aca="false">IF(F325="","",IF(H325="Car or van",IF(O325=0,TEXT(INDEX('Notes and sources'!$C$6:$D$6,1,'Start here'!$C$11)*100,"0")&amp;"p",IF(N325=0,TEXT(INDEX('Notes and sources'!$C$7:$D$7,1,'Start here'!$C$11)*100,"0")&amp;"p",TEXT(INDEX('Notes and sources'!$C$6:$D$6,1,'Start here'!$C$11)*100,"0")&amp;"p/"&amp;TEXT(INDEX('Notes and sources'!$C$7:$D$7,1,'Start here'!$C$11)*100,"0")&amp;"p")),IF(H325="Motorcycle",TEXT(INDEX('Notes and sources'!$C$8:$D$8,1,'Start here'!$C$11)*100,"0")&amp;"p",IF(H325="Bicycle",TEXT(INDEX('Notes and sources'!$C$9:$D$9,1,'Start here'!$C$11)*100,"0")&amp;"p",""))))</f>
        <v/>
      </c>
      <c r="K325" s="26" t="str">
        <f aca="false">IF(F325="","",ROUND(IF(H325="Car or van",N325*INDEX('Notes and sources'!$C$6:$D$6,1,'Start here'!$C$11)+O325*INDEX('Notes and sources'!$C$7:$D$7,1,'Start here'!$C$11)+N(G325)*N(F325)*INDEX('Notes and sources'!$C$10:$D$10,1,'Start here'!$C$11),IF(H325="Motorcycle",N(F325)*INDEX('Notes and sources'!$C$8:$D$8,1,'Start here'!$C$11),IF(H325="Bicycle",N(F325)*INDEX('Notes and sources'!$C$9:$D$9,1,'Start here'!$C$11),0))),2))</f>
        <v/>
      </c>
      <c r="L325" s="27"/>
      <c r="N325" s="2" t="n">
        <f aca="false">IF(I325="",0,MAX(0,MIN(N(F325),INDEX('Notes and sources'!$C$12:$D$12,1,'Start here'!$C$11)-(I325-N(F325)))))</f>
        <v>0</v>
      </c>
      <c r="O325" s="2" t="n">
        <f aca="false">IF(I325="",0,N(F325)-N325)</f>
        <v>0</v>
      </c>
      <c r="P325" s="2" t="str">
        <f aca="false">IF(A325="","",IF(AND(MONTH(A325)=4,DAY(A325)&lt;6),13,MOD(MONTH(A325)-4,12)+1))</f>
        <v/>
      </c>
    </row>
    <row r="326" customFormat="false" ht="15" hidden="false" customHeight="false" outlineLevel="0" collapsed="false">
      <c r="A326" s="21"/>
      <c r="B326" s="6"/>
      <c r="C326" s="6"/>
      <c r="D326" s="6"/>
      <c r="E326" s="6"/>
      <c r="F326" s="22"/>
      <c r="G326" s="23"/>
      <c r="H326" s="24" t="str">
        <f aca="false">IF(B326="","",IFERROR(INDEX('Start here'!$C$16:$C$20,MATCH(B326,'Start here'!$B$16:$B$20,0)),"Check vehicle"))</f>
        <v/>
      </c>
      <c r="I326" s="25" t="str">
        <f aca="false">IF(OR(F326="",H326&lt;&gt;"Car or van"),"",SUMIFS($F$6:F326,$H$6:H326,"Car or van"))</f>
        <v/>
      </c>
      <c r="J326" s="24" t="str">
        <f aca="false">IF(F326="","",IF(H326="Car or van",IF(O326=0,TEXT(INDEX('Notes and sources'!$C$6:$D$6,1,'Start here'!$C$11)*100,"0")&amp;"p",IF(N326=0,TEXT(INDEX('Notes and sources'!$C$7:$D$7,1,'Start here'!$C$11)*100,"0")&amp;"p",TEXT(INDEX('Notes and sources'!$C$6:$D$6,1,'Start here'!$C$11)*100,"0")&amp;"p/"&amp;TEXT(INDEX('Notes and sources'!$C$7:$D$7,1,'Start here'!$C$11)*100,"0")&amp;"p")),IF(H326="Motorcycle",TEXT(INDEX('Notes and sources'!$C$8:$D$8,1,'Start here'!$C$11)*100,"0")&amp;"p",IF(H326="Bicycle",TEXT(INDEX('Notes and sources'!$C$9:$D$9,1,'Start here'!$C$11)*100,"0")&amp;"p",""))))</f>
        <v/>
      </c>
      <c r="K326" s="26" t="str">
        <f aca="false">IF(F326="","",ROUND(IF(H326="Car or van",N326*INDEX('Notes and sources'!$C$6:$D$6,1,'Start here'!$C$11)+O326*INDEX('Notes and sources'!$C$7:$D$7,1,'Start here'!$C$11)+N(G326)*N(F326)*INDEX('Notes and sources'!$C$10:$D$10,1,'Start here'!$C$11),IF(H326="Motorcycle",N(F326)*INDEX('Notes and sources'!$C$8:$D$8,1,'Start here'!$C$11),IF(H326="Bicycle",N(F326)*INDEX('Notes and sources'!$C$9:$D$9,1,'Start here'!$C$11),0))),2))</f>
        <v/>
      </c>
      <c r="L326" s="27"/>
      <c r="N326" s="2" t="n">
        <f aca="false">IF(I326="",0,MAX(0,MIN(N(F326),INDEX('Notes and sources'!$C$12:$D$12,1,'Start here'!$C$11)-(I326-N(F326)))))</f>
        <v>0</v>
      </c>
      <c r="O326" s="2" t="n">
        <f aca="false">IF(I326="",0,N(F326)-N326)</f>
        <v>0</v>
      </c>
      <c r="P326" s="2" t="str">
        <f aca="false">IF(A326="","",IF(AND(MONTH(A326)=4,DAY(A326)&lt;6),13,MOD(MONTH(A326)-4,12)+1))</f>
        <v/>
      </c>
    </row>
    <row r="327" customFormat="false" ht="15" hidden="false" customHeight="false" outlineLevel="0" collapsed="false">
      <c r="A327" s="21"/>
      <c r="B327" s="6"/>
      <c r="C327" s="6"/>
      <c r="D327" s="6"/>
      <c r="E327" s="6"/>
      <c r="F327" s="22"/>
      <c r="G327" s="23"/>
      <c r="H327" s="24" t="str">
        <f aca="false">IF(B327="","",IFERROR(INDEX('Start here'!$C$16:$C$20,MATCH(B327,'Start here'!$B$16:$B$20,0)),"Check vehicle"))</f>
        <v/>
      </c>
      <c r="I327" s="25" t="str">
        <f aca="false">IF(OR(F327="",H327&lt;&gt;"Car or van"),"",SUMIFS($F$6:F327,$H$6:H327,"Car or van"))</f>
        <v/>
      </c>
      <c r="J327" s="24" t="str">
        <f aca="false">IF(F327="","",IF(H327="Car or van",IF(O327=0,TEXT(INDEX('Notes and sources'!$C$6:$D$6,1,'Start here'!$C$11)*100,"0")&amp;"p",IF(N327=0,TEXT(INDEX('Notes and sources'!$C$7:$D$7,1,'Start here'!$C$11)*100,"0")&amp;"p",TEXT(INDEX('Notes and sources'!$C$6:$D$6,1,'Start here'!$C$11)*100,"0")&amp;"p/"&amp;TEXT(INDEX('Notes and sources'!$C$7:$D$7,1,'Start here'!$C$11)*100,"0")&amp;"p")),IF(H327="Motorcycle",TEXT(INDEX('Notes and sources'!$C$8:$D$8,1,'Start here'!$C$11)*100,"0")&amp;"p",IF(H327="Bicycle",TEXT(INDEX('Notes and sources'!$C$9:$D$9,1,'Start here'!$C$11)*100,"0")&amp;"p",""))))</f>
        <v/>
      </c>
      <c r="K327" s="26" t="str">
        <f aca="false">IF(F327="","",ROUND(IF(H327="Car or van",N327*INDEX('Notes and sources'!$C$6:$D$6,1,'Start here'!$C$11)+O327*INDEX('Notes and sources'!$C$7:$D$7,1,'Start here'!$C$11)+N(G327)*N(F327)*INDEX('Notes and sources'!$C$10:$D$10,1,'Start here'!$C$11),IF(H327="Motorcycle",N(F327)*INDEX('Notes and sources'!$C$8:$D$8,1,'Start here'!$C$11),IF(H327="Bicycle",N(F327)*INDEX('Notes and sources'!$C$9:$D$9,1,'Start here'!$C$11),0))),2))</f>
        <v/>
      </c>
      <c r="L327" s="27"/>
      <c r="N327" s="2" t="n">
        <f aca="false">IF(I327="",0,MAX(0,MIN(N(F327),INDEX('Notes and sources'!$C$12:$D$12,1,'Start here'!$C$11)-(I327-N(F327)))))</f>
        <v>0</v>
      </c>
      <c r="O327" s="2" t="n">
        <f aca="false">IF(I327="",0,N(F327)-N327)</f>
        <v>0</v>
      </c>
      <c r="P327" s="2" t="str">
        <f aca="false">IF(A327="","",IF(AND(MONTH(A327)=4,DAY(A327)&lt;6),13,MOD(MONTH(A327)-4,12)+1))</f>
        <v/>
      </c>
    </row>
    <row r="328" customFormat="false" ht="15" hidden="false" customHeight="false" outlineLevel="0" collapsed="false">
      <c r="A328" s="21"/>
      <c r="B328" s="6"/>
      <c r="C328" s="6"/>
      <c r="D328" s="6"/>
      <c r="E328" s="6"/>
      <c r="F328" s="22"/>
      <c r="G328" s="23"/>
      <c r="H328" s="24" t="str">
        <f aca="false">IF(B328="","",IFERROR(INDEX('Start here'!$C$16:$C$20,MATCH(B328,'Start here'!$B$16:$B$20,0)),"Check vehicle"))</f>
        <v/>
      </c>
      <c r="I328" s="25" t="str">
        <f aca="false">IF(OR(F328="",H328&lt;&gt;"Car or van"),"",SUMIFS($F$6:F328,$H$6:H328,"Car or van"))</f>
        <v/>
      </c>
      <c r="J328" s="24" t="str">
        <f aca="false">IF(F328="","",IF(H328="Car or van",IF(O328=0,TEXT(INDEX('Notes and sources'!$C$6:$D$6,1,'Start here'!$C$11)*100,"0")&amp;"p",IF(N328=0,TEXT(INDEX('Notes and sources'!$C$7:$D$7,1,'Start here'!$C$11)*100,"0")&amp;"p",TEXT(INDEX('Notes and sources'!$C$6:$D$6,1,'Start here'!$C$11)*100,"0")&amp;"p/"&amp;TEXT(INDEX('Notes and sources'!$C$7:$D$7,1,'Start here'!$C$11)*100,"0")&amp;"p")),IF(H328="Motorcycle",TEXT(INDEX('Notes and sources'!$C$8:$D$8,1,'Start here'!$C$11)*100,"0")&amp;"p",IF(H328="Bicycle",TEXT(INDEX('Notes and sources'!$C$9:$D$9,1,'Start here'!$C$11)*100,"0")&amp;"p",""))))</f>
        <v/>
      </c>
      <c r="K328" s="26" t="str">
        <f aca="false">IF(F328="","",ROUND(IF(H328="Car or van",N328*INDEX('Notes and sources'!$C$6:$D$6,1,'Start here'!$C$11)+O328*INDEX('Notes and sources'!$C$7:$D$7,1,'Start here'!$C$11)+N(G328)*N(F328)*INDEX('Notes and sources'!$C$10:$D$10,1,'Start here'!$C$11),IF(H328="Motorcycle",N(F328)*INDEX('Notes and sources'!$C$8:$D$8,1,'Start here'!$C$11),IF(H328="Bicycle",N(F328)*INDEX('Notes and sources'!$C$9:$D$9,1,'Start here'!$C$11),0))),2))</f>
        <v/>
      </c>
      <c r="L328" s="27"/>
      <c r="N328" s="2" t="n">
        <f aca="false">IF(I328="",0,MAX(0,MIN(N(F328),INDEX('Notes and sources'!$C$12:$D$12,1,'Start here'!$C$11)-(I328-N(F328)))))</f>
        <v>0</v>
      </c>
      <c r="O328" s="2" t="n">
        <f aca="false">IF(I328="",0,N(F328)-N328)</f>
        <v>0</v>
      </c>
      <c r="P328" s="2" t="str">
        <f aca="false">IF(A328="","",IF(AND(MONTH(A328)=4,DAY(A328)&lt;6),13,MOD(MONTH(A328)-4,12)+1))</f>
        <v/>
      </c>
    </row>
    <row r="329" customFormat="false" ht="15" hidden="false" customHeight="false" outlineLevel="0" collapsed="false">
      <c r="A329" s="21"/>
      <c r="B329" s="6"/>
      <c r="C329" s="6"/>
      <c r="D329" s="6"/>
      <c r="E329" s="6"/>
      <c r="F329" s="22"/>
      <c r="G329" s="23"/>
      <c r="H329" s="24" t="str">
        <f aca="false">IF(B329="","",IFERROR(INDEX('Start here'!$C$16:$C$20,MATCH(B329,'Start here'!$B$16:$B$20,0)),"Check vehicle"))</f>
        <v/>
      </c>
      <c r="I329" s="25" t="str">
        <f aca="false">IF(OR(F329="",H329&lt;&gt;"Car or van"),"",SUMIFS($F$6:F329,$H$6:H329,"Car or van"))</f>
        <v/>
      </c>
      <c r="J329" s="24" t="str">
        <f aca="false">IF(F329="","",IF(H329="Car or van",IF(O329=0,TEXT(INDEX('Notes and sources'!$C$6:$D$6,1,'Start here'!$C$11)*100,"0")&amp;"p",IF(N329=0,TEXT(INDEX('Notes and sources'!$C$7:$D$7,1,'Start here'!$C$11)*100,"0")&amp;"p",TEXT(INDEX('Notes and sources'!$C$6:$D$6,1,'Start here'!$C$11)*100,"0")&amp;"p/"&amp;TEXT(INDEX('Notes and sources'!$C$7:$D$7,1,'Start here'!$C$11)*100,"0")&amp;"p")),IF(H329="Motorcycle",TEXT(INDEX('Notes and sources'!$C$8:$D$8,1,'Start here'!$C$11)*100,"0")&amp;"p",IF(H329="Bicycle",TEXT(INDEX('Notes and sources'!$C$9:$D$9,1,'Start here'!$C$11)*100,"0")&amp;"p",""))))</f>
        <v/>
      </c>
      <c r="K329" s="26" t="str">
        <f aca="false">IF(F329="","",ROUND(IF(H329="Car or van",N329*INDEX('Notes and sources'!$C$6:$D$6,1,'Start here'!$C$11)+O329*INDEX('Notes and sources'!$C$7:$D$7,1,'Start here'!$C$11)+N(G329)*N(F329)*INDEX('Notes and sources'!$C$10:$D$10,1,'Start here'!$C$11),IF(H329="Motorcycle",N(F329)*INDEX('Notes and sources'!$C$8:$D$8,1,'Start here'!$C$11),IF(H329="Bicycle",N(F329)*INDEX('Notes and sources'!$C$9:$D$9,1,'Start here'!$C$11),0))),2))</f>
        <v/>
      </c>
      <c r="L329" s="27"/>
      <c r="N329" s="2" t="n">
        <f aca="false">IF(I329="",0,MAX(0,MIN(N(F329),INDEX('Notes and sources'!$C$12:$D$12,1,'Start here'!$C$11)-(I329-N(F329)))))</f>
        <v>0</v>
      </c>
      <c r="O329" s="2" t="n">
        <f aca="false">IF(I329="",0,N(F329)-N329)</f>
        <v>0</v>
      </c>
      <c r="P329" s="2" t="str">
        <f aca="false">IF(A329="","",IF(AND(MONTH(A329)=4,DAY(A329)&lt;6),13,MOD(MONTH(A329)-4,12)+1))</f>
        <v/>
      </c>
    </row>
    <row r="330" customFormat="false" ht="15" hidden="false" customHeight="false" outlineLevel="0" collapsed="false">
      <c r="A330" s="21"/>
      <c r="B330" s="6"/>
      <c r="C330" s="6"/>
      <c r="D330" s="6"/>
      <c r="E330" s="6"/>
      <c r="F330" s="22"/>
      <c r="G330" s="23"/>
      <c r="H330" s="24" t="str">
        <f aca="false">IF(B330="","",IFERROR(INDEX('Start here'!$C$16:$C$20,MATCH(B330,'Start here'!$B$16:$B$20,0)),"Check vehicle"))</f>
        <v/>
      </c>
      <c r="I330" s="25" t="str">
        <f aca="false">IF(OR(F330="",H330&lt;&gt;"Car or van"),"",SUMIFS($F$6:F330,$H$6:H330,"Car or van"))</f>
        <v/>
      </c>
      <c r="J330" s="24" t="str">
        <f aca="false">IF(F330="","",IF(H330="Car or van",IF(O330=0,TEXT(INDEX('Notes and sources'!$C$6:$D$6,1,'Start here'!$C$11)*100,"0")&amp;"p",IF(N330=0,TEXT(INDEX('Notes and sources'!$C$7:$D$7,1,'Start here'!$C$11)*100,"0")&amp;"p",TEXT(INDEX('Notes and sources'!$C$6:$D$6,1,'Start here'!$C$11)*100,"0")&amp;"p/"&amp;TEXT(INDEX('Notes and sources'!$C$7:$D$7,1,'Start here'!$C$11)*100,"0")&amp;"p")),IF(H330="Motorcycle",TEXT(INDEX('Notes and sources'!$C$8:$D$8,1,'Start here'!$C$11)*100,"0")&amp;"p",IF(H330="Bicycle",TEXT(INDEX('Notes and sources'!$C$9:$D$9,1,'Start here'!$C$11)*100,"0")&amp;"p",""))))</f>
        <v/>
      </c>
      <c r="K330" s="26" t="str">
        <f aca="false">IF(F330="","",ROUND(IF(H330="Car or van",N330*INDEX('Notes and sources'!$C$6:$D$6,1,'Start here'!$C$11)+O330*INDEX('Notes and sources'!$C$7:$D$7,1,'Start here'!$C$11)+N(G330)*N(F330)*INDEX('Notes and sources'!$C$10:$D$10,1,'Start here'!$C$11),IF(H330="Motorcycle",N(F330)*INDEX('Notes and sources'!$C$8:$D$8,1,'Start here'!$C$11),IF(H330="Bicycle",N(F330)*INDEX('Notes and sources'!$C$9:$D$9,1,'Start here'!$C$11),0))),2))</f>
        <v/>
      </c>
      <c r="L330" s="27"/>
      <c r="N330" s="2" t="n">
        <f aca="false">IF(I330="",0,MAX(0,MIN(N(F330),INDEX('Notes and sources'!$C$12:$D$12,1,'Start here'!$C$11)-(I330-N(F330)))))</f>
        <v>0</v>
      </c>
      <c r="O330" s="2" t="n">
        <f aca="false">IF(I330="",0,N(F330)-N330)</f>
        <v>0</v>
      </c>
      <c r="P330" s="2" t="str">
        <f aca="false">IF(A330="","",IF(AND(MONTH(A330)=4,DAY(A330)&lt;6),13,MOD(MONTH(A330)-4,12)+1))</f>
        <v/>
      </c>
    </row>
    <row r="331" customFormat="false" ht="15" hidden="false" customHeight="false" outlineLevel="0" collapsed="false">
      <c r="A331" s="21"/>
      <c r="B331" s="6"/>
      <c r="C331" s="6"/>
      <c r="D331" s="6"/>
      <c r="E331" s="6"/>
      <c r="F331" s="22"/>
      <c r="G331" s="23"/>
      <c r="H331" s="24" t="str">
        <f aca="false">IF(B331="","",IFERROR(INDEX('Start here'!$C$16:$C$20,MATCH(B331,'Start here'!$B$16:$B$20,0)),"Check vehicle"))</f>
        <v/>
      </c>
      <c r="I331" s="25" t="str">
        <f aca="false">IF(OR(F331="",H331&lt;&gt;"Car or van"),"",SUMIFS($F$6:F331,$H$6:H331,"Car or van"))</f>
        <v/>
      </c>
      <c r="J331" s="24" t="str">
        <f aca="false">IF(F331="","",IF(H331="Car or van",IF(O331=0,TEXT(INDEX('Notes and sources'!$C$6:$D$6,1,'Start here'!$C$11)*100,"0")&amp;"p",IF(N331=0,TEXT(INDEX('Notes and sources'!$C$7:$D$7,1,'Start here'!$C$11)*100,"0")&amp;"p",TEXT(INDEX('Notes and sources'!$C$6:$D$6,1,'Start here'!$C$11)*100,"0")&amp;"p/"&amp;TEXT(INDEX('Notes and sources'!$C$7:$D$7,1,'Start here'!$C$11)*100,"0")&amp;"p")),IF(H331="Motorcycle",TEXT(INDEX('Notes and sources'!$C$8:$D$8,1,'Start here'!$C$11)*100,"0")&amp;"p",IF(H331="Bicycle",TEXT(INDEX('Notes and sources'!$C$9:$D$9,1,'Start here'!$C$11)*100,"0")&amp;"p",""))))</f>
        <v/>
      </c>
      <c r="K331" s="26" t="str">
        <f aca="false">IF(F331="","",ROUND(IF(H331="Car or van",N331*INDEX('Notes and sources'!$C$6:$D$6,1,'Start here'!$C$11)+O331*INDEX('Notes and sources'!$C$7:$D$7,1,'Start here'!$C$11)+N(G331)*N(F331)*INDEX('Notes and sources'!$C$10:$D$10,1,'Start here'!$C$11),IF(H331="Motorcycle",N(F331)*INDEX('Notes and sources'!$C$8:$D$8,1,'Start here'!$C$11),IF(H331="Bicycle",N(F331)*INDEX('Notes and sources'!$C$9:$D$9,1,'Start here'!$C$11),0))),2))</f>
        <v/>
      </c>
      <c r="L331" s="27"/>
      <c r="N331" s="2" t="n">
        <f aca="false">IF(I331="",0,MAX(0,MIN(N(F331),INDEX('Notes and sources'!$C$12:$D$12,1,'Start here'!$C$11)-(I331-N(F331)))))</f>
        <v>0</v>
      </c>
      <c r="O331" s="2" t="n">
        <f aca="false">IF(I331="",0,N(F331)-N331)</f>
        <v>0</v>
      </c>
      <c r="P331" s="2" t="str">
        <f aca="false">IF(A331="","",IF(AND(MONTH(A331)=4,DAY(A331)&lt;6),13,MOD(MONTH(A331)-4,12)+1))</f>
        <v/>
      </c>
    </row>
    <row r="332" customFormat="false" ht="15" hidden="false" customHeight="false" outlineLevel="0" collapsed="false">
      <c r="A332" s="21"/>
      <c r="B332" s="6"/>
      <c r="C332" s="6"/>
      <c r="D332" s="6"/>
      <c r="E332" s="6"/>
      <c r="F332" s="22"/>
      <c r="G332" s="23"/>
      <c r="H332" s="24" t="str">
        <f aca="false">IF(B332="","",IFERROR(INDEX('Start here'!$C$16:$C$20,MATCH(B332,'Start here'!$B$16:$B$20,0)),"Check vehicle"))</f>
        <v/>
      </c>
      <c r="I332" s="25" t="str">
        <f aca="false">IF(OR(F332="",H332&lt;&gt;"Car or van"),"",SUMIFS($F$6:F332,$H$6:H332,"Car or van"))</f>
        <v/>
      </c>
      <c r="J332" s="24" t="str">
        <f aca="false">IF(F332="","",IF(H332="Car or van",IF(O332=0,TEXT(INDEX('Notes and sources'!$C$6:$D$6,1,'Start here'!$C$11)*100,"0")&amp;"p",IF(N332=0,TEXT(INDEX('Notes and sources'!$C$7:$D$7,1,'Start here'!$C$11)*100,"0")&amp;"p",TEXT(INDEX('Notes and sources'!$C$6:$D$6,1,'Start here'!$C$11)*100,"0")&amp;"p/"&amp;TEXT(INDEX('Notes and sources'!$C$7:$D$7,1,'Start here'!$C$11)*100,"0")&amp;"p")),IF(H332="Motorcycle",TEXT(INDEX('Notes and sources'!$C$8:$D$8,1,'Start here'!$C$11)*100,"0")&amp;"p",IF(H332="Bicycle",TEXT(INDEX('Notes and sources'!$C$9:$D$9,1,'Start here'!$C$11)*100,"0")&amp;"p",""))))</f>
        <v/>
      </c>
      <c r="K332" s="26" t="str">
        <f aca="false">IF(F332="","",ROUND(IF(H332="Car or van",N332*INDEX('Notes and sources'!$C$6:$D$6,1,'Start here'!$C$11)+O332*INDEX('Notes and sources'!$C$7:$D$7,1,'Start here'!$C$11)+N(G332)*N(F332)*INDEX('Notes and sources'!$C$10:$D$10,1,'Start here'!$C$11),IF(H332="Motorcycle",N(F332)*INDEX('Notes and sources'!$C$8:$D$8,1,'Start here'!$C$11),IF(H332="Bicycle",N(F332)*INDEX('Notes and sources'!$C$9:$D$9,1,'Start here'!$C$11),0))),2))</f>
        <v/>
      </c>
      <c r="L332" s="27"/>
      <c r="N332" s="2" t="n">
        <f aca="false">IF(I332="",0,MAX(0,MIN(N(F332),INDEX('Notes and sources'!$C$12:$D$12,1,'Start here'!$C$11)-(I332-N(F332)))))</f>
        <v>0</v>
      </c>
      <c r="O332" s="2" t="n">
        <f aca="false">IF(I332="",0,N(F332)-N332)</f>
        <v>0</v>
      </c>
      <c r="P332" s="2" t="str">
        <f aca="false">IF(A332="","",IF(AND(MONTH(A332)=4,DAY(A332)&lt;6),13,MOD(MONTH(A332)-4,12)+1))</f>
        <v/>
      </c>
    </row>
    <row r="333" customFormat="false" ht="15" hidden="false" customHeight="false" outlineLevel="0" collapsed="false">
      <c r="A333" s="21"/>
      <c r="B333" s="6"/>
      <c r="C333" s="6"/>
      <c r="D333" s="6"/>
      <c r="E333" s="6"/>
      <c r="F333" s="22"/>
      <c r="G333" s="23"/>
      <c r="H333" s="24" t="str">
        <f aca="false">IF(B333="","",IFERROR(INDEX('Start here'!$C$16:$C$20,MATCH(B333,'Start here'!$B$16:$B$20,0)),"Check vehicle"))</f>
        <v/>
      </c>
      <c r="I333" s="25" t="str">
        <f aca="false">IF(OR(F333="",H333&lt;&gt;"Car or van"),"",SUMIFS($F$6:F333,$H$6:H333,"Car or van"))</f>
        <v/>
      </c>
      <c r="J333" s="24" t="str">
        <f aca="false">IF(F333="","",IF(H333="Car or van",IF(O333=0,TEXT(INDEX('Notes and sources'!$C$6:$D$6,1,'Start here'!$C$11)*100,"0")&amp;"p",IF(N333=0,TEXT(INDEX('Notes and sources'!$C$7:$D$7,1,'Start here'!$C$11)*100,"0")&amp;"p",TEXT(INDEX('Notes and sources'!$C$6:$D$6,1,'Start here'!$C$11)*100,"0")&amp;"p/"&amp;TEXT(INDEX('Notes and sources'!$C$7:$D$7,1,'Start here'!$C$11)*100,"0")&amp;"p")),IF(H333="Motorcycle",TEXT(INDEX('Notes and sources'!$C$8:$D$8,1,'Start here'!$C$11)*100,"0")&amp;"p",IF(H333="Bicycle",TEXT(INDEX('Notes and sources'!$C$9:$D$9,1,'Start here'!$C$11)*100,"0")&amp;"p",""))))</f>
        <v/>
      </c>
      <c r="K333" s="26" t="str">
        <f aca="false">IF(F333="","",ROUND(IF(H333="Car or van",N333*INDEX('Notes and sources'!$C$6:$D$6,1,'Start here'!$C$11)+O333*INDEX('Notes and sources'!$C$7:$D$7,1,'Start here'!$C$11)+N(G333)*N(F333)*INDEX('Notes and sources'!$C$10:$D$10,1,'Start here'!$C$11),IF(H333="Motorcycle",N(F333)*INDEX('Notes and sources'!$C$8:$D$8,1,'Start here'!$C$11),IF(H333="Bicycle",N(F333)*INDEX('Notes and sources'!$C$9:$D$9,1,'Start here'!$C$11),0))),2))</f>
        <v/>
      </c>
      <c r="L333" s="27"/>
      <c r="N333" s="2" t="n">
        <f aca="false">IF(I333="",0,MAX(0,MIN(N(F333),INDEX('Notes and sources'!$C$12:$D$12,1,'Start here'!$C$11)-(I333-N(F333)))))</f>
        <v>0</v>
      </c>
      <c r="O333" s="2" t="n">
        <f aca="false">IF(I333="",0,N(F333)-N333)</f>
        <v>0</v>
      </c>
      <c r="P333" s="2" t="str">
        <f aca="false">IF(A333="","",IF(AND(MONTH(A333)=4,DAY(A333)&lt;6),13,MOD(MONTH(A333)-4,12)+1))</f>
        <v/>
      </c>
    </row>
    <row r="334" customFormat="false" ht="15" hidden="false" customHeight="false" outlineLevel="0" collapsed="false">
      <c r="A334" s="21"/>
      <c r="B334" s="6"/>
      <c r="C334" s="6"/>
      <c r="D334" s="6"/>
      <c r="E334" s="6"/>
      <c r="F334" s="22"/>
      <c r="G334" s="23"/>
      <c r="H334" s="24" t="str">
        <f aca="false">IF(B334="","",IFERROR(INDEX('Start here'!$C$16:$C$20,MATCH(B334,'Start here'!$B$16:$B$20,0)),"Check vehicle"))</f>
        <v/>
      </c>
      <c r="I334" s="25" t="str">
        <f aca="false">IF(OR(F334="",H334&lt;&gt;"Car or van"),"",SUMIFS($F$6:F334,$H$6:H334,"Car or van"))</f>
        <v/>
      </c>
      <c r="J334" s="24" t="str">
        <f aca="false">IF(F334="","",IF(H334="Car or van",IF(O334=0,TEXT(INDEX('Notes and sources'!$C$6:$D$6,1,'Start here'!$C$11)*100,"0")&amp;"p",IF(N334=0,TEXT(INDEX('Notes and sources'!$C$7:$D$7,1,'Start here'!$C$11)*100,"0")&amp;"p",TEXT(INDEX('Notes and sources'!$C$6:$D$6,1,'Start here'!$C$11)*100,"0")&amp;"p/"&amp;TEXT(INDEX('Notes and sources'!$C$7:$D$7,1,'Start here'!$C$11)*100,"0")&amp;"p")),IF(H334="Motorcycle",TEXT(INDEX('Notes and sources'!$C$8:$D$8,1,'Start here'!$C$11)*100,"0")&amp;"p",IF(H334="Bicycle",TEXT(INDEX('Notes and sources'!$C$9:$D$9,1,'Start here'!$C$11)*100,"0")&amp;"p",""))))</f>
        <v/>
      </c>
      <c r="K334" s="26" t="str">
        <f aca="false">IF(F334="","",ROUND(IF(H334="Car or van",N334*INDEX('Notes and sources'!$C$6:$D$6,1,'Start here'!$C$11)+O334*INDEX('Notes and sources'!$C$7:$D$7,1,'Start here'!$C$11)+N(G334)*N(F334)*INDEX('Notes and sources'!$C$10:$D$10,1,'Start here'!$C$11),IF(H334="Motorcycle",N(F334)*INDEX('Notes and sources'!$C$8:$D$8,1,'Start here'!$C$11),IF(H334="Bicycle",N(F334)*INDEX('Notes and sources'!$C$9:$D$9,1,'Start here'!$C$11),0))),2))</f>
        <v/>
      </c>
      <c r="L334" s="27"/>
      <c r="N334" s="2" t="n">
        <f aca="false">IF(I334="",0,MAX(0,MIN(N(F334),INDEX('Notes and sources'!$C$12:$D$12,1,'Start here'!$C$11)-(I334-N(F334)))))</f>
        <v>0</v>
      </c>
      <c r="O334" s="2" t="n">
        <f aca="false">IF(I334="",0,N(F334)-N334)</f>
        <v>0</v>
      </c>
      <c r="P334" s="2" t="str">
        <f aca="false">IF(A334="","",IF(AND(MONTH(A334)=4,DAY(A334)&lt;6),13,MOD(MONTH(A334)-4,12)+1))</f>
        <v/>
      </c>
    </row>
    <row r="335" customFormat="false" ht="15" hidden="false" customHeight="false" outlineLevel="0" collapsed="false">
      <c r="A335" s="21"/>
      <c r="B335" s="6"/>
      <c r="C335" s="6"/>
      <c r="D335" s="6"/>
      <c r="E335" s="6"/>
      <c r="F335" s="22"/>
      <c r="G335" s="23"/>
      <c r="H335" s="24" t="str">
        <f aca="false">IF(B335="","",IFERROR(INDEX('Start here'!$C$16:$C$20,MATCH(B335,'Start here'!$B$16:$B$20,0)),"Check vehicle"))</f>
        <v/>
      </c>
      <c r="I335" s="25" t="str">
        <f aca="false">IF(OR(F335="",H335&lt;&gt;"Car or van"),"",SUMIFS($F$6:F335,$H$6:H335,"Car or van"))</f>
        <v/>
      </c>
      <c r="J335" s="24" t="str">
        <f aca="false">IF(F335="","",IF(H335="Car or van",IF(O335=0,TEXT(INDEX('Notes and sources'!$C$6:$D$6,1,'Start here'!$C$11)*100,"0")&amp;"p",IF(N335=0,TEXT(INDEX('Notes and sources'!$C$7:$D$7,1,'Start here'!$C$11)*100,"0")&amp;"p",TEXT(INDEX('Notes and sources'!$C$6:$D$6,1,'Start here'!$C$11)*100,"0")&amp;"p/"&amp;TEXT(INDEX('Notes and sources'!$C$7:$D$7,1,'Start here'!$C$11)*100,"0")&amp;"p")),IF(H335="Motorcycle",TEXT(INDEX('Notes and sources'!$C$8:$D$8,1,'Start here'!$C$11)*100,"0")&amp;"p",IF(H335="Bicycle",TEXT(INDEX('Notes and sources'!$C$9:$D$9,1,'Start here'!$C$11)*100,"0")&amp;"p",""))))</f>
        <v/>
      </c>
      <c r="K335" s="26" t="str">
        <f aca="false">IF(F335="","",ROUND(IF(H335="Car or van",N335*INDEX('Notes and sources'!$C$6:$D$6,1,'Start here'!$C$11)+O335*INDEX('Notes and sources'!$C$7:$D$7,1,'Start here'!$C$11)+N(G335)*N(F335)*INDEX('Notes and sources'!$C$10:$D$10,1,'Start here'!$C$11),IF(H335="Motorcycle",N(F335)*INDEX('Notes and sources'!$C$8:$D$8,1,'Start here'!$C$11),IF(H335="Bicycle",N(F335)*INDEX('Notes and sources'!$C$9:$D$9,1,'Start here'!$C$11),0))),2))</f>
        <v/>
      </c>
      <c r="L335" s="27"/>
      <c r="N335" s="2" t="n">
        <f aca="false">IF(I335="",0,MAX(0,MIN(N(F335),INDEX('Notes and sources'!$C$12:$D$12,1,'Start here'!$C$11)-(I335-N(F335)))))</f>
        <v>0</v>
      </c>
      <c r="O335" s="2" t="n">
        <f aca="false">IF(I335="",0,N(F335)-N335)</f>
        <v>0</v>
      </c>
      <c r="P335" s="2" t="str">
        <f aca="false">IF(A335="","",IF(AND(MONTH(A335)=4,DAY(A335)&lt;6),13,MOD(MONTH(A335)-4,12)+1))</f>
        <v/>
      </c>
    </row>
    <row r="336" customFormat="false" ht="15" hidden="false" customHeight="false" outlineLevel="0" collapsed="false">
      <c r="A336" s="21"/>
      <c r="B336" s="6"/>
      <c r="C336" s="6"/>
      <c r="D336" s="6"/>
      <c r="E336" s="6"/>
      <c r="F336" s="22"/>
      <c r="G336" s="23"/>
      <c r="H336" s="24" t="str">
        <f aca="false">IF(B336="","",IFERROR(INDEX('Start here'!$C$16:$C$20,MATCH(B336,'Start here'!$B$16:$B$20,0)),"Check vehicle"))</f>
        <v/>
      </c>
      <c r="I336" s="25" t="str">
        <f aca="false">IF(OR(F336="",H336&lt;&gt;"Car or van"),"",SUMIFS($F$6:F336,$H$6:H336,"Car or van"))</f>
        <v/>
      </c>
      <c r="J336" s="24" t="str">
        <f aca="false">IF(F336="","",IF(H336="Car or van",IF(O336=0,TEXT(INDEX('Notes and sources'!$C$6:$D$6,1,'Start here'!$C$11)*100,"0")&amp;"p",IF(N336=0,TEXT(INDEX('Notes and sources'!$C$7:$D$7,1,'Start here'!$C$11)*100,"0")&amp;"p",TEXT(INDEX('Notes and sources'!$C$6:$D$6,1,'Start here'!$C$11)*100,"0")&amp;"p/"&amp;TEXT(INDEX('Notes and sources'!$C$7:$D$7,1,'Start here'!$C$11)*100,"0")&amp;"p")),IF(H336="Motorcycle",TEXT(INDEX('Notes and sources'!$C$8:$D$8,1,'Start here'!$C$11)*100,"0")&amp;"p",IF(H336="Bicycle",TEXT(INDEX('Notes and sources'!$C$9:$D$9,1,'Start here'!$C$11)*100,"0")&amp;"p",""))))</f>
        <v/>
      </c>
      <c r="K336" s="26" t="str">
        <f aca="false">IF(F336="","",ROUND(IF(H336="Car or van",N336*INDEX('Notes and sources'!$C$6:$D$6,1,'Start here'!$C$11)+O336*INDEX('Notes and sources'!$C$7:$D$7,1,'Start here'!$C$11)+N(G336)*N(F336)*INDEX('Notes and sources'!$C$10:$D$10,1,'Start here'!$C$11),IF(H336="Motorcycle",N(F336)*INDEX('Notes and sources'!$C$8:$D$8,1,'Start here'!$C$11),IF(H336="Bicycle",N(F336)*INDEX('Notes and sources'!$C$9:$D$9,1,'Start here'!$C$11),0))),2))</f>
        <v/>
      </c>
      <c r="L336" s="27"/>
      <c r="N336" s="2" t="n">
        <f aca="false">IF(I336="",0,MAX(0,MIN(N(F336),INDEX('Notes and sources'!$C$12:$D$12,1,'Start here'!$C$11)-(I336-N(F336)))))</f>
        <v>0</v>
      </c>
      <c r="O336" s="2" t="n">
        <f aca="false">IF(I336="",0,N(F336)-N336)</f>
        <v>0</v>
      </c>
      <c r="P336" s="2" t="str">
        <f aca="false">IF(A336="","",IF(AND(MONTH(A336)=4,DAY(A336)&lt;6),13,MOD(MONTH(A336)-4,12)+1))</f>
        <v/>
      </c>
    </row>
    <row r="337" customFormat="false" ht="15" hidden="false" customHeight="false" outlineLevel="0" collapsed="false">
      <c r="A337" s="21"/>
      <c r="B337" s="6"/>
      <c r="C337" s="6"/>
      <c r="D337" s="6"/>
      <c r="E337" s="6"/>
      <c r="F337" s="22"/>
      <c r="G337" s="23"/>
      <c r="H337" s="24" t="str">
        <f aca="false">IF(B337="","",IFERROR(INDEX('Start here'!$C$16:$C$20,MATCH(B337,'Start here'!$B$16:$B$20,0)),"Check vehicle"))</f>
        <v/>
      </c>
      <c r="I337" s="25" t="str">
        <f aca="false">IF(OR(F337="",H337&lt;&gt;"Car or van"),"",SUMIFS($F$6:F337,$H$6:H337,"Car or van"))</f>
        <v/>
      </c>
      <c r="J337" s="24" t="str">
        <f aca="false">IF(F337="","",IF(H337="Car or van",IF(O337=0,TEXT(INDEX('Notes and sources'!$C$6:$D$6,1,'Start here'!$C$11)*100,"0")&amp;"p",IF(N337=0,TEXT(INDEX('Notes and sources'!$C$7:$D$7,1,'Start here'!$C$11)*100,"0")&amp;"p",TEXT(INDEX('Notes and sources'!$C$6:$D$6,1,'Start here'!$C$11)*100,"0")&amp;"p/"&amp;TEXT(INDEX('Notes and sources'!$C$7:$D$7,1,'Start here'!$C$11)*100,"0")&amp;"p")),IF(H337="Motorcycle",TEXT(INDEX('Notes and sources'!$C$8:$D$8,1,'Start here'!$C$11)*100,"0")&amp;"p",IF(H337="Bicycle",TEXT(INDEX('Notes and sources'!$C$9:$D$9,1,'Start here'!$C$11)*100,"0")&amp;"p",""))))</f>
        <v/>
      </c>
      <c r="K337" s="26" t="str">
        <f aca="false">IF(F337="","",ROUND(IF(H337="Car or van",N337*INDEX('Notes and sources'!$C$6:$D$6,1,'Start here'!$C$11)+O337*INDEX('Notes and sources'!$C$7:$D$7,1,'Start here'!$C$11)+N(G337)*N(F337)*INDEX('Notes and sources'!$C$10:$D$10,1,'Start here'!$C$11),IF(H337="Motorcycle",N(F337)*INDEX('Notes and sources'!$C$8:$D$8,1,'Start here'!$C$11),IF(H337="Bicycle",N(F337)*INDEX('Notes and sources'!$C$9:$D$9,1,'Start here'!$C$11),0))),2))</f>
        <v/>
      </c>
      <c r="L337" s="27"/>
      <c r="N337" s="2" t="n">
        <f aca="false">IF(I337="",0,MAX(0,MIN(N(F337),INDEX('Notes and sources'!$C$12:$D$12,1,'Start here'!$C$11)-(I337-N(F337)))))</f>
        <v>0</v>
      </c>
      <c r="O337" s="2" t="n">
        <f aca="false">IF(I337="",0,N(F337)-N337)</f>
        <v>0</v>
      </c>
      <c r="P337" s="2" t="str">
        <f aca="false">IF(A337="","",IF(AND(MONTH(A337)=4,DAY(A337)&lt;6),13,MOD(MONTH(A337)-4,12)+1))</f>
        <v/>
      </c>
    </row>
    <row r="338" customFormat="false" ht="15" hidden="false" customHeight="false" outlineLevel="0" collapsed="false">
      <c r="A338" s="21"/>
      <c r="B338" s="6"/>
      <c r="C338" s="6"/>
      <c r="D338" s="6"/>
      <c r="E338" s="6"/>
      <c r="F338" s="22"/>
      <c r="G338" s="23"/>
      <c r="H338" s="24" t="str">
        <f aca="false">IF(B338="","",IFERROR(INDEX('Start here'!$C$16:$C$20,MATCH(B338,'Start here'!$B$16:$B$20,0)),"Check vehicle"))</f>
        <v/>
      </c>
      <c r="I338" s="25" t="str">
        <f aca="false">IF(OR(F338="",H338&lt;&gt;"Car or van"),"",SUMIFS($F$6:F338,$H$6:H338,"Car or van"))</f>
        <v/>
      </c>
      <c r="J338" s="24" t="str">
        <f aca="false">IF(F338="","",IF(H338="Car or van",IF(O338=0,TEXT(INDEX('Notes and sources'!$C$6:$D$6,1,'Start here'!$C$11)*100,"0")&amp;"p",IF(N338=0,TEXT(INDEX('Notes and sources'!$C$7:$D$7,1,'Start here'!$C$11)*100,"0")&amp;"p",TEXT(INDEX('Notes and sources'!$C$6:$D$6,1,'Start here'!$C$11)*100,"0")&amp;"p/"&amp;TEXT(INDEX('Notes and sources'!$C$7:$D$7,1,'Start here'!$C$11)*100,"0")&amp;"p")),IF(H338="Motorcycle",TEXT(INDEX('Notes and sources'!$C$8:$D$8,1,'Start here'!$C$11)*100,"0")&amp;"p",IF(H338="Bicycle",TEXT(INDEX('Notes and sources'!$C$9:$D$9,1,'Start here'!$C$11)*100,"0")&amp;"p",""))))</f>
        <v/>
      </c>
      <c r="K338" s="26" t="str">
        <f aca="false">IF(F338="","",ROUND(IF(H338="Car or van",N338*INDEX('Notes and sources'!$C$6:$D$6,1,'Start here'!$C$11)+O338*INDEX('Notes and sources'!$C$7:$D$7,1,'Start here'!$C$11)+N(G338)*N(F338)*INDEX('Notes and sources'!$C$10:$D$10,1,'Start here'!$C$11),IF(H338="Motorcycle",N(F338)*INDEX('Notes and sources'!$C$8:$D$8,1,'Start here'!$C$11),IF(H338="Bicycle",N(F338)*INDEX('Notes and sources'!$C$9:$D$9,1,'Start here'!$C$11),0))),2))</f>
        <v/>
      </c>
      <c r="L338" s="27"/>
      <c r="N338" s="2" t="n">
        <f aca="false">IF(I338="",0,MAX(0,MIN(N(F338),INDEX('Notes and sources'!$C$12:$D$12,1,'Start here'!$C$11)-(I338-N(F338)))))</f>
        <v>0</v>
      </c>
      <c r="O338" s="2" t="n">
        <f aca="false">IF(I338="",0,N(F338)-N338)</f>
        <v>0</v>
      </c>
      <c r="P338" s="2" t="str">
        <f aca="false">IF(A338="","",IF(AND(MONTH(A338)=4,DAY(A338)&lt;6),13,MOD(MONTH(A338)-4,12)+1))</f>
        <v/>
      </c>
    </row>
    <row r="339" customFormat="false" ht="15" hidden="false" customHeight="false" outlineLevel="0" collapsed="false">
      <c r="A339" s="21"/>
      <c r="B339" s="6"/>
      <c r="C339" s="6"/>
      <c r="D339" s="6"/>
      <c r="E339" s="6"/>
      <c r="F339" s="22"/>
      <c r="G339" s="23"/>
      <c r="H339" s="24" t="str">
        <f aca="false">IF(B339="","",IFERROR(INDEX('Start here'!$C$16:$C$20,MATCH(B339,'Start here'!$B$16:$B$20,0)),"Check vehicle"))</f>
        <v/>
      </c>
      <c r="I339" s="25" t="str">
        <f aca="false">IF(OR(F339="",H339&lt;&gt;"Car or van"),"",SUMIFS($F$6:F339,$H$6:H339,"Car or van"))</f>
        <v/>
      </c>
      <c r="J339" s="24" t="str">
        <f aca="false">IF(F339="","",IF(H339="Car or van",IF(O339=0,TEXT(INDEX('Notes and sources'!$C$6:$D$6,1,'Start here'!$C$11)*100,"0")&amp;"p",IF(N339=0,TEXT(INDEX('Notes and sources'!$C$7:$D$7,1,'Start here'!$C$11)*100,"0")&amp;"p",TEXT(INDEX('Notes and sources'!$C$6:$D$6,1,'Start here'!$C$11)*100,"0")&amp;"p/"&amp;TEXT(INDEX('Notes and sources'!$C$7:$D$7,1,'Start here'!$C$11)*100,"0")&amp;"p")),IF(H339="Motorcycle",TEXT(INDEX('Notes and sources'!$C$8:$D$8,1,'Start here'!$C$11)*100,"0")&amp;"p",IF(H339="Bicycle",TEXT(INDEX('Notes and sources'!$C$9:$D$9,1,'Start here'!$C$11)*100,"0")&amp;"p",""))))</f>
        <v/>
      </c>
      <c r="K339" s="26" t="str">
        <f aca="false">IF(F339="","",ROUND(IF(H339="Car or van",N339*INDEX('Notes and sources'!$C$6:$D$6,1,'Start here'!$C$11)+O339*INDEX('Notes and sources'!$C$7:$D$7,1,'Start here'!$C$11)+N(G339)*N(F339)*INDEX('Notes and sources'!$C$10:$D$10,1,'Start here'!$C$11),IF(H339="Motorcycle",N(F339)*INDEX('Notes and sources'!$C$8:$D$8,1,'Start here'!$C$11),IF(H339="Bicycle",N(F339)*INDEX('Notes and sources'!$C$9:$D$9,1,'Start here'!$C$11),0))),2))</f>
        <v/>
      </c>
      <c r="L339" s="27"/>
      <c r="N339" s="2" t="n">
        <f aca="false">IF(I339="",0,MAX(0,MIN(N(F339),INDEX('Notes and sources'!$C$12:$D$12,1,'Start here'!$C$11)-(I339-N(F339)))))</f>
        <v>0</v>
      </c>
      <c r="O339" s="2" t="n">
        <f aca="false">IF(I339="",0,N(F339)-N339)</f>
        <v>0</v>
      </c>
      <c r="P339" s="2" t="str">
        <f aca="false">IF(A339="","",IF(AND(MONTH(A339)=4,DAY(A339)&lt;6),13,MOD(MONTH(A339)-4,12)+1))</f>
        <v/>
      </c>
    </row>
    <row r="340" customFormat="false" ht="15" hidden="false" customHeight="false" outlineLevel="0" collapsed="false">
      <c r="A340" s="21"/>
      <c r="B340" s="6"/>
      <c r="C340" s="6"/>
      <c r="D340" s="6"/>
      <c r="E340" s="6"/>
      <c r="F340" s="22"/>
      <c r="G340" s="23"/>
      <c r="H340" s="24" t="str">
        <f aca="false">IF(B340="","",IFERROR(INDEX('Start here'!$C$16:$C$20,MATCH(B340,'Start here'!$B$16:$B$20,0)),"Check vehicle"))</f>
        <v/>
      </c>
      <c r="I340" s="25" t="str">
        <f aca="false">IF(OR(F340="",H340&lt;&gt;"Car or van"),"",SUMIFS($F$6:F340,$H$6:H340,"Car or van"))</f>
        <v/>
      </c>
      <c r="J340" s="24" t="str">
        <f aca="false">IF(F340="","",IF(H340="Car or van",IF(O340=0,TEXT(INDEX('Notes and sources'!$C$6:$D$6,1,'Start here'!$C$11)*100,"0")&amp;"p",IF(N340=0,TEXT(INDEX('Notes and sources'!$C$7:$D$7,1,'Start here'!$C$11)*100,"0")&amp;"p",TEXT(INDEX('Notes and sources'!$C$6:$D$6,1,'Start here'!$C$11)*100,"0")&amp;"p/"&amp;TEXT(INDEX('Notes and sources'!$C$7:$D$7,1,'Start here'!$C$11)*100,"0")&amp;"p")),IF(H340="Motorcycle",TEXT(INDEX('Notes and sources'!$C$8:$D$8,1,'Start here'!$C$11)*100,"0")&amp;"p",IF(H340="Bicycle",TEXT(INDEX('Notes and sources'!$C$9:$D$9,1,'Start here'!$C$11)*100,"0")&amp;"p",""))))</f>
        <v/>
      </c>
      <c r="K340" s="26" t="str">
        <f aca="false">IF(F340="","",ROUND(IF(H340="Car or van",N340*INDEX('Notes and sources'!$C$6:$D$6,1,'Start here'!$C$11)+O340*INDEX('Notes and sources'!$C$7:$D$7,1,'Start here'!$C$11)+N(G340)*N(F340)*INDEX('Notes and sources'!$C$10:$D$10,1,'Start here'!$C$11),IF(H340="Motorcycle",N(F340)*INDEX('Notes and sources'!$C$8:$D$8,1,'Start here'!$C$11),IF(H340="Bicycle",N(F340)*INDEX('Notes and sources'!$C$9:$D$9,1,'Start here'!$C$11),0))),2))</f>
        <v/>
      </c>
      <c r="L340" s="27"/>
      <c r="N340" s="2" t="n">
        <f aca="false">IF(I340="",0,MAX(0,MIN(N(F340),INDEX('Notes and sources'!$C$12:$D$12,1,'Start here'!$C$11)-(I340-N(F340)))))</f>
        <v>0</v>
      </c>
      <c r="O340" s="2" t="n">
        <f aca="false">IF(I340="",0,N(F340)-N340)</f>
        <v>0</v>
      </c>
      <c r="P340" s="2" t="str">
        <f aca="false">IF(A340="","",IF(AND(MONTH(A340)=4,DAY(A340)&lt;6),13,MOD(MONTH(A340)-4,12)+1))</f>
        <v/>
      </c>
    </row>
    <row r="341" customFormat="false" ht="15" hidden="false" customHeight="false" outlineLevel="0" collapsed="false">
      <c r="A341" s="21"/>
      <c r="B341" s="6"/>
      <c r="C341" s="6"/>
      <c r="D341" s="6"/>
      <c r="E341" s="6"/>
      <c r="F341" s="22"/>
      <c r="G341" s="23"/>
      <c r="H341" s="24" t="str">
        <f aca="false">IF(B341="","",IFERROR(INDEX('Start here'!$C$16:$C$20,MATCH(B341,'Start here'!$B$16:$B$20,0)),"Check vehicle"))</f>
        <v/>
      </c>
      <c r="I341" s="25" t="str">
        <f aca="false">IF(OR(F341="",H341&lt;&gt;"Car or van"),"",SUMIFS($F$6:F341,$H$6:H341,"Car or van"))</f>
        <v/>
      </c>
      <c r="J341" s="24" t="str">
        <f aca="false">IF(F341="","",IF(H341="Car or van",IF(O341=0,TEXT(INDEX('Notes and sources'!$C$6:$D$6,1,'Start here'!$C$11)*100,"0")&amp;"p",IF(N341=0,TEXT(INDEX('Notes and sources'!$C$7:$D$7,1,'Start here'!$C$11)*100,"0")&amp;"p",TEXT(INDEX('Notes and sources'!$C$6:$D$6,1,'Start here'!$C$11)*100,"0")&amp;"p/"&amp;TEXT(INDEX('Notes and sources'!$C$7:$D$7,1,'Start here'!$C$11)*100,"0")&amp;"p")),IF(H341="Motorcycle",TEXT(INDEX('Notes and sources'!$C$8:$D$8,1,'Start here'!$C$11)*100,"0")&amp;"p",IF(H341="Bicycle",TEXT(INDEX('Notes and sources'!$C$9:$D$9,1,'Start here'!$C$11)*100,"0")&amp;"p",""))))</f>
        <v/>
      </c>
      <c r="K341" s="26" t="str">
        <f aca="false">IF(F341="","",ROUND(IF(H341="Car or van",N341*INDEX('Notes and sources'!$C$6:$D$6,1,'Start here'!$C$11)+O341*INDEX('Notes and sources'!$C$7:$D$7,1,'Start here'!$C$11)+N(G341)*N(F341)*INDEX('Notes and sources'!$C$10:$D$10,1,'Start here'!$C$11),IF(H341="Motorcycle",N(F341)*INDEX('Notes and sources'!$C$8:$D$8,1,'Start here'!$C$11),IF(H341="Bicycle",N(F341)*INDEX('Notes and sources'!$C$9:$D$9,1,'Start here'!$C$11),0))),2))</f>
        <v/>
      </c>
      <c r="L341" s="27"/>
      <c r="N341" s="2" t="n">
        <f aca="false">IF(I341="",0,MAX(0,MIN(N(F341),INDEX('Notes and sources'!$C$12:$D$12,1,'Start here'!$C$11)-(I341-N(F341)))))</f>
        <v>0</v>
      </c>
      <c r="O341" s="2" t="n">
        <f aca="false">IF(I341="",0,N(F341)-N341)</f>
        <v>0</v>
      </c>
      <c r="P341" s="2" t="str">
        <f aca="false">IF(A341="","",IF(AND(MONTH(A341)=4,DAY(A341)&lt;6),13,MOD(MONTH(A341)-4,12)+1))</f>
        <v/>
      </c>
    </row>
    <row r="342" customFormat="false" ht="15" hidden="false" customHeight="false" outlineLevel="0" collapsed="false">
      <c r="A342" s="21"/>
      <c r="B342" s="6"/>
      <c r="C342" s="6"/>
      <c r="D342" s="6"/>
      <c r="E342" s="6"/>
      <c r="F342" s="22"/>
      <c r="G342" s="23"/>
      <c r="H342" s="24" t="str">
        <f aca="false">IF(B342="","",IFERROR(INDEX('Start here'!$C$16:$C$20,MATCH(B342,'Start here'!$B$16:$B$20,0)),"Check vehicle"))</f>
        <v/>
      </c>
      <c r="I342" s="25" t="str">
        <f aca="false">IF(OR(F342="",H342&lt;&gt;"Car or van"),"",SUMIFS($F$6:F342,$H$6:H342,"Car or van"))</f>
        <v/>
      </c>
      <c r="J342" s="24" t="str">
        <f aca="false">IF(F342="","",IF(H342="Car or van",IF(O342=0,TEXT(INDEX('Notes and sources'!$C$6:$D$6,1,'Start here'!$C$11)*100,"0")&amp;"p",IF(N342=0,TEXT(INDEX('Notes and sources'!$C$7:$D$7,1,'Start here'!$C$11)*100,"0")&amp;"p",TEXT(INDEX('Notes and sources'!$C$6:$D$6,1,'Start here'!$C$11)*100,"0")&amp;"p/"&amp;TEXT(INDEX('Notes and sources'!$C$7:$D$7,1,'Start here'!$C$11)*100,"0")&amp;"p")),IF(H342="Motorcycle",TEXT(INDEX('Notes and sources'!$C$8:$D$8,1,'Start here'!$C$11)*100,"0")&amp;"p",IF(H342="Bicycle",TEXT(INDEX('Notes and sources'!$C$9:$D$9,1,'Start here'!$C$11)*100,"0")&amp;"p",""))))</f>
        <v/>
      </c>
      <c r="K342" s="26" t="str">
        <f aca="false">IF(F342="","",ROUND(IF(H342="Car or van",N342*INDEX('Notes and sources'!$C$6:$D$6,1,'Start here'!$C$11)+O342*INDEX('Notes and sources'!$C$7:$D$7,1,'Start here'!$C$11)+N(G342)*N(F342)*INDEX('Notes and sources'!$C$10:$D$10,1,'Start here'!$C$11),IF(H342="Motorcycle",N(F342)*INDEX('Notes and sources'!$C$8:$D$8,1,'Start here'!$C$11),IF(H342="Bicycle",N(F342)*INDEX('Notes and sources'!$C$9:$D$9,1,'Start here'!$C$11),0))),2))</f>
        <v/>
      </c>
      <c r="L342" s="27"/>
      <c r="N342" s="2" t="n">
        <f aca="false">IF(I342="",0,MAX(0,MIN(N(F342),INDEX('Notes and sources'!$C$12:$D$12,1,'Start here'!$C$11)-(I342-N(F342)))))</f>
        <v>0</v>
      </c>
      <c r="O342" s="2" t="n">
        <f aca="false">IF(I342="",0,N(F342)-N342)</f>
        <v>0</v>
      </c>
      <c r="P342" s="2" t="str">
        <f aca="false">IF(A342="","",IF(AND(MONTH(A342)=4,DAY(A342)&lt;6),13,MOD(MONTH(A342)-4,12)+1))</f>
        <v/>
      </c>
    </row>
    <row r="343" customFormat="false" ht="15" hidden="false" customHeight="false" outlineLevel="0" collapsed="false">
      <c r="A343" s="21"/>
      <c r="B343" s="6"/>
      <c r="C343" s="6"/>
      <c r="D343" s="6"/>
      <c r="E343" s="6"/>
      <c r="F343" s="22"/>
      <c r="G343" s="23"/>
      <c r="H343" s="24" t="str">
        <f aca="false">IF(B343="","",IFERROR(INDEX('Start here'!$C$16:$C$20,MATCH(B343,'Start here'!$B$16:$B$20,0)),"Check vehicle"))</f>
        <v/>
      </c>
      <c r="I343" s="25" t="str">
        <f aca="false">IF(OR(F343="",H343&lt;&gt;"Car or van"),"",SUMIFS($F$6:F343,$H$6:H343,"Car or van"))</f>
        <v/>
      </c>
      <c r="J343" s="24" t="str">
        <f aca="false">IF(F343="","",IF(H343="Car or van",IF(O343=0,TEXT(INDEX('Notes and sources'!$C$6:$D$6,1,'Start here'!$C$11)*100,"0")&amp;"p",IF(N343=0,TEXT(INDEX('Notes and sources'!$C$7:$D$7,1,'Start here'!$C$11)*100,"0")&amp;"p",TEXT(INDEX('Notes and sources'!$C$6:$D$6,1,'Start here'!$C$11)*100,"0")&amp;"p/"&amp;TEXT(INDEX('Notes and sources'!$C$7:$D$7,1,'Start here'!$C$11)*100,"0")&amp;"p")),IF(H343="Motorcycle",TEXT(INDEX('Notes and sources'!$C$8:$D$8,1,'Start here'!$C$11)*100,"0")&amp;"p",IF(H343="Bicycle",TEXT(INDEX('Notes and sources'!$C$9:$D$9,1,'Start here'!$C$11)*100,"0")&amp;"p",""))))</f>
        <v/>
      </c>
      <c r="K343" s="26" t="str">
        <f aca="false">IF(F343="","",ROUND(IF(H343="Car or van",N343*INDEX('Notes and sources'!$C$6:$D$6,1,'Start here'!$C$11)+O343*INDEX('Notes and sources'!$C$7:$D$7,1,'Start here'!$C$11)+N(G343)*N(F343)*INDEX('Notes and sources'!$C$10:$D$10,1,'Start here'!$C$11),IF(H343="Motorcycle",N(F343)*INDEX('Notes and sources'!$C$8:$D$8,1,'Start here'!$C$11),IF(H343="Bicycle",N(F343)*INDEX('Notes and sources'!$C$9:$D$9,1,'Start here'!$C$11),0))),2))</f>
        <v/>
      </c>
      <c r="L343" s="27"/>
      <c r="N343" s="2" t="n">
        <f aca="false">IF(I343="",0,MAX(0,MIN(N(F343),INDEX('Notes and sources'!$C$12:$D$12,1,'Start here'!$C$11)-(I343-N(F343)))))</f>
        <v>0</v>
      </c>
      <c r="O343" s="2" t="n">
        <f aca="false">IF(I343="",0,N(F343)-N343)</f>
        <v>0</v>
      </c>
      <c r="P343" s="2" t="str">
        <f aca="false">IF(A343="","",IF(AND(MONTH(A343)=4,DAY(A343)&lt;6),13,MOD(MONTH(A343)-4,12)+1))</f>
        <v/>
      </c>
    </row>
    <row r="344" customFormat="false" ht="15" hidden="false" customHeight="false" outlineLevel="0" collapsed="false">
      <c r="A344" s="21"/>
      <c r="B344" s="6"/>
      <c r="C344" s="6"/>
      <c r="D344" s="6"/>
      <c r="E344" s="6"/>
      <c r="F344" s="22"/>
      <c r="G344" s="23"/>
      <c r="H344" s="24" t="str">
        <f aca="false">IF(B344="","",IFERROR(INDEX('Start here'!$C$16:$C$20,MATCH(B344,'Start here'!$B$16:$B$20,0)),"Check vehicle"))</f>
        <v/>
      </c>
      <c r="I344" s="25" t="str">
        <f aca="false">IF(OR(F344="",H344&lt;&gt;"Car or van"),"",SUMIFS($F$6:F344,$H$6:H344,"Car or van"))</f>
        <v/>
      </c>
      <c r="J344" s="24" t="str">
        <f aca="false">IF(F344="","",IF(H344="Car or van",IF(O344=0,TEXT(INDEX('Notes and sources'!$C$6:$D$6,1,'Start here'!$C$11)*100,"0")&amp;"p",IF(N344=0,TEXT(INDEX('Notes and sources'!$C$7:$D$7,1,'Start here'!$C$11)*100,"0")&amp;"p",TEXT(INDEX('Notes and sources'!$C$6:$D$6,1,'Start here'!$C$11)*100,"0")&amp;"p/"&amp;TEXT(INDEX('Notes and sources'!$C$7:$D$7,1,'Start here'!$C$11)*100,"0")&amp;"p")),IF(H344="Motorcycle",TEXT(INDEX('Notes and sources'!$C$8:$D$8,1,'Start here'!$C$11)*100,"0")&amp;"p",IF(H344="Bicycle",TEXT(INDEX('Notes and sources'!$C$9:$D$9,1,'Start here'!$C$11)*100,"0")&amp;"p",""))))</f>
        <v/>
      </c>
      <c r="K344" s="26" t="str">
        <f aca="false">IF(F344="","",ROUND(IF(H344="Car or van",N344*INDEX('Notes and sources'!$C$6:$D$6,1,'Start here'!$C$11)+O344*INDEX('Notes and sources'!$C$7:$D$7,1,'Start here'!$C$11)+N(G344)*N(F344)*INDEX('Notes and sources'!$C$10:$D$10,1,'Start here'!$C$11),IF(H344="Motorcycle",N(F344)*INDEX('Notes and sources'!$C$8:$D$8,1,'Start here'!$C$11),IF(H344="Bicycle",N(F344)*INDEX('Notes and sources'!$C$9:$D$9,1,'Start here'!$C$11),0))),2))</f>
        <v/>
      </c>
      <c r="L344" s="27"/>
      <c r="N344" s="2" t="n">
        <f aca="false">IF(I344="",0,MAX(0,MIN(N(F344),INDEX('Notes and sources'!$C$12:$D$12,1,'Start here'!$C$11)-(I344-N(F344)))))</f>
        <v>0</v>
      </c>
      <c r="O344" s="2" t="n">
        <f aca="false">IF(I344="",0,N(F344)-N344)</f>
        <v>0</v>
      </c>
      <c r="P344" s="2" t="str">
        <f aca="false">IF(A344="","",IF(AND(MONTH(A344)=4,DAY(A344)&lt;6),13,MOD(MONTH(A344)-4,12)+1))</f>
        <v/>
      </c>
    </row>
    <row r="345" customFormat="false" ht="15" hidden="false" customHeight="false" outlineLevel="0" collapsed="false">
      <c r="A345" s="21"/>
      <c r="B345" s="6"/>
      <c r="C345" s="6"/>
      <c r="D345" s="6"/>
      <c r="E345" s="6"/>
      <c r="F345" s="22"/>
      <c r="G345" s="23"/>
      <c r="H345" s="24" t="str">
        <f aca="false">IF(B345="","",IFERROR(INDEX('Start here'!$C$16:$C$20,MATCH(B345,'Start here'!$B$16:$B$20,0)),"Check vehicle"))</f>
        <v/>
      </c>
      <c r="I345" s="25" t="str">
        <f aca="false">IF(OR(F345="",H345&lt;&gt;"Car or van"),"",SUMIFS($F$6:F345,$H$6:H345,"Car or van"))</f>
        <v/>
      </c>
      <c r="J345" s="24" t="str">
        <f aca="false">IF(F345="","",IF(H345="Car or van",IF(O345=0,TEXT(INDEX('Notes and sources'!$C$6:$D$6,1,'Start here'!$C$11)*100,"0")&amp;"p",IF(N345=0,TEXT(INDEX('Notes and sources'!$C$7:$D$7,1,'Start here'!$C$11)*100,"0")&amp;"p",TEXT(INDEX('Notes and sources'!$C$6:$D$6,1,'Start here'!$C$11)*100,"0")&amp;"p/"&amp;TEXT(INDEX('Notes and sources'!$C$7:$D$7,1,'Start here'!$C$11)*100,"0")&amp;"p")),IF(H345="Motorcycle",TEXT(INDEX('Notes and sources'!$C$8:$D$8,1,'Start here'!$C$11)*100,"0")&amp;"p",IF(H345="Bicycle",TEXT(INDEX('Notes and sources'!$C$9:$D$9,1,'Start here'!$C$11)*100,"0")&amp;"p",""))))</f>
        <v/>
      </c>
      <c r="K345" s="26" t="str">
        <f aca="false">IF(F345="","",ROUND(IF(H345="Car or van",N345*INDEX('Notes and sources'!$C$6:$D$6,1,'Start here'!$C$11)+O345*INDEX('Notes and sources'!$C$7:$D$7,1,'Start here'!$C$11)+N(G345)*N(F345)*INDEX('Notes and sources'!$C$10:$D$10,1,'Start here'!$C$11),IF(H345="Motorcycle",N(F345)*INDEX('Notes and sources'!$C$8:$D$8,1,'Start here'!$C$11),IF(H345="Bicycle",N(F345)*INDEX('Notes and sources'!$C$9:$D$9,1,'Start here'!$C$11),0))),2))</f>
        <v/>
      </c>
      <c r="L345" s="27"/>
      <c r="N345" s="2" t="n">
        <f aca="false">IF(I345="",0,MAX(0,MIN(N(F345),INDEX('Notes and sources'!$C$12:$D$12,1,'Start here'!$C$11)-(I345-N(F345)))))</f>
        <v>0</v>
      </c>
      <c r="O345" s="2" t="n">
        <f aca="false">IF(I345="",0,N(F345)-N345)</f>
        <v>0</v>
      </c>
      <c r="P345" s="2" t="str">
        <f aca="false">IF(A345="","",IF(AND(MONTH(A345)=4,DAY(A345)&lt;6),13,MOD(MONTH(A345)-4,12)+1))</f>
        <v/>
      </c>
    </row>
    <row r="346" customFormat="false" ht="15" hidden="false" customHeight="false" outlineLevel="0" collapsed="false">
      <c r="A346" s="21"/>
      <c r="B346" s="6"/>
      <c r="C346" s="6"/>
      <c r="D346" s="6"/>
      <c r="E346" s="6"/>
      <c r="F346" s="22"/>
      <c r="G346" s="23"/>
      <c r="H346" s="24" t="str">
        <f aca="false">IF(B346="","",IFERROR(INDEX('Start here'!$C$16:$C$20,MATCH(B346,'Start here'!$B$16:$B$20,0)),"Check vehicle"))</f>
        <v/>
      </c>
      <c r="I346" s="25" t="str">
        <f aca="false">IF(OR(F346="",H346&lt;&gt;"Car or van"),"",SUMIFS($F$6:F346,$H$6:H346,"Car or van"))</f>
        <v/>
      </c>
      <c r="J346" s="24" t="str">
        <f aca="false">IF(F346="","",IF(H346="Car or van",IF(O346=0,TEXT(INDEX('Notes and sources'!$C$6:$D$6,1,'Start here'!$C$11)*100,"0")&amp;"p",IF(N346=0,TEXT(INDEX('Notes and sources'!$C$7:$D$7,1,'Start here'!$C$11)*100,"0")&amp;"p",TEXT(INDEX('Notes and sources'!$C$6:$D$6,1,'Start here'!$C$11)*100,"0")&amp;"p/"&amp;TEXT(INDEX('Notes and sources'!$C$7:$D$7,1,'Start here'!$C$11)*100,"0")&amp;"p")),IF(H346="Motorcycle",TEXT(INDEX('Notes and sources'!$C$8:$D$8,1,'Start here'!$C$11)*100,"0")&amp;"p",IF(H346="Bicycle",TEXT(INDEX('Notes and sources'!$C$9:$D$9,1,'Start here'!$C$11)*100,"0")&amp;"p",""))))</f>
        <v/>
      </c>
      <c r="K346" s="26" t="str">
        <f aca="false">IF(F346="","",ROUND(IF(H346="Car or van",N346*INDEX('Notes and sources'!$C$6:$D$6,1,'Start here'!$C$11)+O346*INDEX('Notes and sources'!$C$7:$D$7,1,'Start here'!$C$11)+N(G346)*N(F346)*INDEX('Notes and sources'!$C$10:$D$10,1,'Start here'!$C$11),IF(H346="Motorcycle",N(F346)*INDEX('Notes and sources'!$C$8:$D$8,1,'Start here'!$C$11),IF(H346="Bicycle",N(F346)*INDEX('Notes and sources'!$C$9:$D$9,1,'Start here'!$C$11),0))),2))</f>
        <v/>
      </c>
      <c r="L346" s="27"/>
      <c r="N346" s="2" t="n">
        <f aca="false">IF(I346="",0,MAX(0,MIN(N(F346),INDEX('Notes and sources'!$C$12:$D$12,1,'Start here'!$C$11)-(I346-N(F346)))))</f>
        <v>0</v>
      </c>
      <c r="O346" s="2" t="n">
        <f aca="false">IF(I346="",0,N(F346)-N346)</f>
        <v>0</v>
      </c>
      <c r="P346" s="2" t="str">
        <f aca="false">IF(A346="","",IF(AND(MONTH(A346)=4,DAY(A346)&lt;6),13,MOD(MONTH(A346)-4,12)+1))</f>
        <v/>
      </c>
    </row>
    <row r="347" customFormat="false" ht="15" hidden="false" customHeight="false" outlineLevel="0" collapsed="false">
      <c r="A347" s="21"/>
      <c r="B347" s="6"/>
      <c r="C347" s="6"/>
      <c r="D347" s="6"/>
      <c r="E347" s="6"/>
      <c r="F347" s="22"/>
      <c r="G347" s="23"/>
      <c r="H347" s="24" t="str">
        <f aca="false">IF(B347="","",IFERROR(INDEX('Start here'!$C$16:$C$20,MATCH(B347,'Start here'!$B$16:$B$20,0)),"Check vehicle"))</f>
        <v/>
      </c>
      <c r="I347" s="25" t="str">
        <f aca="false">IF(OR(F347="",H347&lt;&gt;"Car or van"),"",SUMIFS($F$6:F347,$H$6:H347,"Car or van"))</f>
        <v/>
      </c>
      <c r="J347" s="24" t="str">
        <f aca="false">IF(F347="","",IF(H347="Car or van",IF(O347=0,TEXT(INDEX('Notes and sources'!$C$6:$D$6,1,'Start here'!$C$11)*100,"0")&amp;"p",IF(N347=0,TEXT(INDEX('Notes and sources'!$C$7:$D$7,1,'Start here'!$C$11)*100,"0")&amp;"p",TEXT(INDEX('Notes and sources'!$C$6:$D$6,1,'Start here'!$C$11)*100,"0")&amp;"p/"&amp;TEXT(INDEX('Notes and sources'!$C$7:$D$7,1,'Start here'!$C$11)*100,"0")&amp;"p")),IF(H347="Motorcycle",TEXT(INDEX('Notes and sources'!$C$8:$D$8,1,'Start here'!$C$11)*100,"0")&amp;"p",IF(H347="Bicycle",TEXT(INDEX('Notes and sources'!$C$9:$D$9,1,'Start here'!$C$11)*100,"0")&amp;"p",""))))</f>
        <v/>
      </c>
      <c r="K347" s="26" t="str">
        <f aca="false">IF(F347="","",ROUND(IF(H347="Car or van",N347*INDEX('Notes and sources'!$C$6:$D$6,1,'Start here'!$C$11)+O347*INDEX('Notes and sources'!$C$7:$D$7,1,'Start here'!$C$11)+N(G347)*N(F347)*INDEX('Notes and sources'!$C$10:$D$10,1,'Start here'!$C$11),IF(H347="Motorcycle",N(F347)*INDEX('Notes and sources'!$C$8:$D$8,1,'Start here'!$C$11),IF(H347="Bicycle",N(F347)*INDEX('Notes and sources'!$C$9:$D$9,1,'Start here'!$C$11),0))),2))</f>
        <v/>
      </c>
      <c r="L347" s="27"/>
      <c r="N347" s="2" t="n">
        <f aca="false">IF(I347="",0,MAX(0,MIN(N(F347),INDEX('Notes and sources'!$C$12:$D$12,1,'Start here'!$C$11)-(I347-N(F347)))))</f>
        <v>0</v>
      </c>
      <c r="O347" s="2" t="n">
        <f aca="false">IF(I347="",0,N(F347)-N347)</f>
        <v>0</v>
      </c>
      <c r="P347" s="2" t="str">
        <f aca="false">IF(A347="","",IF(AND(MONTH(A347)=4,DAY(A347)&lt;6),13,MOD(MONTH(A347)-4,12)+1))</f>
        <v/>
      </c>
    </row>
    <row r="348" customFormat="false" ht="15" hidden="false" customHeight="false" outlineLevel="0" collapsed="false">
      <c r="A348" s="21"/>
      <c r="B348" s="6"/>
      <c r="C348" s="6"/>
      <c r="D348" s="6"/>
      <c r="E348" s="6"/>
      <c r="F348" s="22"/>
      <c r="G348" s="23"/>
      <c r="H348" s="24" t="str">
        <f aca="false">IF(B348="","",IFERROR(INDEX('Start here'!$C$16:$C$20,MATCH(B348,'Start here'!$B$16:$B$20,0)),"Check vehicle"))</f>
        <v/>
      </c>
      <c r="I348" s="25" t="str">
        <f aca="false">IF(OR(F348="",H348&lt;&gt;"Car or van"),"",SUMIFS($F$6:F348,$H$6:H348,"Car or van"))</f>
        <v/>
      </c>
      <c r="J348" s="24" t="str">
        <f aca="false">IF(F348="","",IF(H348="Car or van",IF(O348=0,TEXT(INDEX('Notes and sources'!$C$6:$D$6,1,'Start here'!$C$11)*100,"0")&amp;"p",IF(N348=0,TEXT(INDEX('Notes and sources'!$C$7:$D$7,1,'Start here'!$C$11)*100,"0")&amp;"p",TEXT(INDEX('Notes and sources'!$C$6:$D$6,1,'Start here'!$C$11)*100,"0")&amp;"p/"&amp;TEXT(INDEX('Notes and sources'!$C$7:$D$7,1,'Start here'!$C$11)*100,"0")&amp;"p")),IF(H348="Motorcycle",TEXT(INDEX('Notes and sources'!$C$8:$D$8,1,'Start here'!$C$11)*100,"0")&amp;"p",IF(H348="Bicycle",TEXT(INDEX('Notes and sources'!$C$9:$D$9,1,'Start here'!$C$11)*100,"0")&amp;"p",""))))</f>
        <v/>
      </c>
      <c r="K348" s="26" t="str">
        <f aca="false">IF(F348="","",ROUND(IF(H348="Car or van",N348*INDEX('Notes and sources'!$C$6:$D$6,1,'Start here'!$C$11)+O348*INDEX('Notes and sources'!$C$7:$D$7,1,'Start here'!$C$11)+N(G348)*N(F348)*INDEX('Notes and sources'!$C$10:$D$10,1,'Start here'!$C$11),IF(H348="Motorcycle",N(F348)*INDEX('Notes and sources'!$C$8:$D$8,1,'Start here'!$C$11),IF(H348="Bicycle",N(F348)*INDEX('Notes and sources'!$C$9:$D$9,1,'Start here'!$C$11),0))),2))</f>
        <v/>
      </c>
      <c r="L348" s="27"/>
      <c r="N348" s="2" t="n">
        <f aca="false">IF(I348="",0,MAX(0,MIN(N(F348),INDEX('Notes and sources'!$C$12:$D$12,1,'Start here'!$C$11)-(I348-N(F348)))))</f>
        <v>0</v>
      </c>
      <c r="O348" s="2" t="n">
        <f aca="false">IF(I348="",0,N(F348)-N348)</f>
        <v>0</v>
      </c>
      <c r="P348" s="2" t="str">
        <f aca="false">IF(A348="","",IF(AND(MONTH(A348)=4,DAY(A348)&lt;6),13,MOD(MONTH(A348)-4,12)+1))</f>
        <v/>
      </c>
    </row>
    <row r="349" customFormat="false" ht="15" hidden="false" customHeight="false" outlineLevel="0" collapsed="false">
      <c r="A349" s="21"/>
      <c r="B349" s="6"/>
      <c r="C349" s="6"/>
      <c r="D349" s="6"/>
      <c r="E349" s="6"/>
      <c r="F349" s="22"/>
      <c r="G349" s="23"/>
      <c r="H349" s="24" t="str">
        <f aca="false">IF(B349="","",IFERROR(INDEX('Start here'!$C$16:$C$20,MATCH(B349,'Start here'!$B$16:$B$20,0)),"Check vehicle"))</f>
        <v/>
      </c>
      <c r="I349" s="25" t="str">
        <f aca="false">IF(OR(F349="",H349&lt;&gt;"Car or van"),"",SUMIFS($F$6:F349,$H$6:H349,"Car or van"))</f>
        <v/>
      </c>
      <c r="J349" s="24" t="str">
        <f aca="false">IF(F349="","",IF(H349="Car or van",IF(O349=0,TEXT(INDEX('Notes and sources'!$C$6:$D$6,1,'Start here'!$C$11)*100,"0")&amp;"p",IF(N349=0,TEXT(INDEX('Notes and sources'!$C$7:$D$7,1,'Start here'!$C$11)*100,"0")&amp;"p",TEXT(INDEX('Notes and sources'!$C$6:$D$6,1,'Start here'!$C$11)*100,"0")&amp;"p/"&amp;TEXT(INDEX('Notes and sources'!$C$7:$D$7,1,'Start here'!$C$11)*100,"0")&amp;"p")),IF(H349="Motorcycle",TEXT(INDEX('Notes and sources'!$C$8:$D$8,1,'Start here'!$C$11)*100,"0")&amp;"p",IF(H349="Bicycle",TEXT(INDEX('Notes and sources'!$C$9:$D$9,1,'Start here'!$C$11)*100,"0")&amp;"p",""))))</f>
        <v/>
      </c>
      <c r="K349" s="26" t="str">
        <f aca="false">IF(F349="","",ROUND(IF(H349="Car or van",N349*INDEX('Notes and sources'!$C$6:$D$6,1,'Start here'!$C$11)+O349*INDEX('Notes and sources'!$C$7:$D$7,1,'Start here'!$C$11)+N(G349)*N(F349)*INDEX('Notes and sources'!$C$10:$D$10,1,'Start here'!$C$11),IF(H349="Motorcycle",N(F349)*INDEX('Notes and sources'!$C$8:$D$8,1,'Start here'!$C$11),IF(H349="Bicycle",N(F349)*INDEX('Notes and sources'!$C$9:$D$9,1,'Start here'!$C$11),0))),2))</f>
        <v/>
      </c>
      <c r="L349" s="27"/>
      <c r="N349" s="2" t="n">
        <f aca="false">IF(I349="",0,MAX(0,MIN(N(F349),INDEX('Notes and sources'!$C$12:$D$12,1,'Start here'!$C$11)-(I349-N(F349)))))</f>
        <v>0</v>
      </c>
      <c r="O349" s="2" t="n">
        <f aca="false">IF(I349="",0,N(F349)-N349)</f>
        <v>0</v>
      </c>
      <c r="P349" s="2" t="str">
        <f aca="false">IF(A349="","",IF(AND(MONTH(A349)=4,DAY(A349)&lt;6),13,MOD(MONTH(A349)-4,12)+1))</f>
        <v/>
      </c>
    </row>
    <row r="350" customFormat="false" ht="15" hidden="false" customHeight="false" outlineLevel="0" collapsed="false">
      <c r="A350" s="21"/>
      <c r="B350" s="6"/>
      <c r="C350" s="6"/>
      <c r="D350" s="6"/>
      <c r="E350" s="6"/>
      <c r="F350" s="22"/>
      <c r="G350" s="23"/>
      <c r="H350" s="24" t="str">
        <f aca="false">IF(B350="","",IFERROR(INDEX('Start here'!$C$16:$C$20,MATCH(B350,'Start here'!$B$16:$B$20,0)),"Check vehicle"))</f>
        <v/>
      </c>
      <c r="I350" s="25" t="str">
        <f aca="false">IF(OR(F350="",H350&lt;&gt;"Car or van"),"",SUMIFS($F$6:F350,$H$6:H350,"Car or van"))</f>
        <v/>
      </c>
      <c r="J350" s="24" t="str">
        <f aca="false">IF(F350="","",IF(H350="Car or van",IF(O350=0,TEXT(INDEX('Notes and sources'!$C$6:$D$6,1,'Start here'!$C$11)*100,"0")&amp;"p",IF(N350=0,TEXT(INDEX('Notes and sources'!$C$7:$D$7,1,'Start here'!$C$11)*100,"0")&amp;"p",TEXT(INDEX('Notes and sources'!$C$6:$D$6,1,'Start here'!$C$11)*100,"0")&amp;"p/"&amp;TEXT(INDEX('Notes and sources'!$C$7:$D$7,1,'Start here'!$C$11)*100,"0")&amp;"p")),IF(H350="Motorcycle",TEXT(INDEX('Notes and sources'!$C$8:$D$8,1,'Start here'!$C$11)*100,"0")&amp;"p",IF(H350="Bicycle",TEXT(INDEX('Notes and sources'!$C$9:$D$9,1,'Start here'!$C$11)*100,"0")&amp;"p",""))))</f>
        <v/>
      </c>
      <c r="K350" s="26" t="str">
        <f aca="false">IF(F350="","",ROUND(IF(H350="Car or van",N350*INDEX('Notes and sources'!$C$6:$D$6,1,'Start here'!$C$11)+O350*INDEX('Notes and sources'!$C$7:$D$7,1,'Start here'!$C$11)+N(G350)*N(F350)*INDEX('Notes and sources'!$C$10:$D$10,1,'Start here'!$C$11),IF(H350="Motorcycle",N(F350)*INDEX('Notes and sources'!$C$8:$D$8,1,'Start here'!$C$11),IF(H350="Bicycle",N(F350)*INDEX('Notes and sources'!$C$9:$D$9,1,'Start here'!$C$11),0))),2))</f>
        <v/>
      </c>
      <c r="L350" s="27"/>
      <c r="N350" s="2" t="n">
        <f aca="false">IF(I350="",0,MAX(0,MIN(N(F350),INDEX('Notes and sources'!$C$12:$D$12,1,'Start here'!$C$11)-(I350-N(F350)))))</f>
        <v>0</v>
      </c>
      <c r="O350" s="2" t="n">
        <f aca="false">IF(I350="",0,N(F350)-N350)</f>
        <v>0</v>
      </c>
      <c r="P350" s="2" t="str">
        <f aca="false">IF(A350="","",IF(AND(MONTH(A350)=4,DAY(A350)&lt;6),13,MOD(MONTH(A350)-4,12)+1))</f>
        <v/>
      </c>
    </row>
    <row r="351" customFormat="false" ht="15" hidden="false" customHeight="false" outlineLevel="0" collapsed="false">
      <c r="A351" s="21"/>
      <c r="B351" s="6"/>
      <c r="C351" s="6"/>
      <c r="D351" s="6"/>
      <c r="E351" s="6"/>
      <c r="F351" s="22"/>
      <c r="G351" s="23"/>
      <c r="H351" s="24" t="str">
        <f aca="false">IF(B351="","",IFERROR(INDEX('Start here'!$C$16:$C$20,MATCH(B351,'Start here'!$B$16:$B$20,0)),"Check vehicle"))</f>
        <v/>
      </c>
      <c r="I351" s="25" t="str">
        <f aca="false">IF(OR(F351="",H351&lt;&gt;"Car or van"),"",SUMIFS($F$6:F351,$H$6:H351,"Car or van"))</f>
        <v/>
      </c>
      <c r="J351" s="24" t="str">
        <f aca="false">IF(F351="","",IF(H351="Car or van",IF(O351=0,TEXT(INDEX('Notes and sources'!$C$6:$D$6,1,'Start here'!$C$11)*100,"0")&amp;"p",IF(N351=0,TEXT(INDEX('Notes and sources'!$C$7:$D$7,1,'Start here'!$C$11)*100,"0")&amp;"p",TEXT(INDEX('Notes and sources'!$C$6:$D$6,1,'Start here'!$C$11)*100,"0")&amp;"p/"&amp;TEXT(INDEX('Notes and sources'!$C$7:$D$7,1,'Start here'!$C$11)*100,"0")&amp;"p")),IF(H351="Motorcycle",TEXT(INDEX('Notes and sources'!$C$8:$D$8,1,'Start here'!$C$11)*100,"0")&amp;"p",IF(H351="Bicycle",TEXT(INDEX('Notes and sources'!$C$9:$D$9,1,'Start here'!$C$11)*100,"0")&amp;"p",""))))</f>
        <v/>
      </c>
      <c r="K351" s="26" t="str">
        <f aca="false">IF(F351="","",ROUND(IF(H351="Car or van",N351*INDEX('Notes and sources'!$C$6:$D$6,1,'Start here'!$C$11)+O351*INDEX('Notes and sources'!$C$7:$D$7,1,'Start here'!$C$11)+N(G351)*N(F351)*INDEX('Notes and sources'!$C$10:$D$10,1,'Start here'!$C$11),IF(H351="Motorcycle",N(F351)*INDEX('Notes and sources'!$C$8:$D$8,1,'Start here'!$C$11),IF(H351="Bicycle",N(F351)*INDEX('Notes and sources'!$C$9:$D$9,1,'Start here'!$C$11),0))),2))</f>
        <v/>
      </c>
      <c r="L351" s="27"/>
      <c r="N351" s="2" t="n">
        <f aca="false">IF(I351="",0,MAX(0,MIN(N(F351),INDEX('Notes and sources'!$C$12:$D$12,1,'Start here'!$C$11)-(I351-N(F351)))))</f>
        <v>0</v>
      </c>
      <c r="O351" s="2" t="n">
        <f aca="false">IF(I351="",0,N(F351)-N351)</f>
        <v>0</v>
      </c>
      <c r="P351" s="2" t="str">
        <f aca="false">IF(A351="","",IF(AND(MONTH(A351)=4,DAY(A351)&lt;6),13,MOD(MONTH(A351)-4,12)+1))</f>
        <v/>
      </c>
    </row>
    <row r="352" customFormat="false" ht="15" hidden="false" customHeight="false" outlineLevel="0" collapsed="false">
      <c r="A352" s="21"/>
      <c r="B352" s="6"/>
      <c r="C352" s="6"/>
      <c r="D352" s="6"/>
      <c r="E352" s="6"/>
      <c r="F352" s="22"/>
      <c r="G352" s="23"/>
      <c r="H352" s="24" t="str">
        <f aca="false">IF(B352="","",IFERROR(INDEX('Start here'!$C$16:$C$20,MATCH(B352,'Start here'!$B$16:$B$20,0)),"Check vehicle"))</f>
        <v/>
      </c>
      <c r="I352" s="25" t="str">
        <f aca="false">IF(OR(F352="",H352&lt;&gt;"Car or van"),"",SUMIFS($F$6:F352,$H$6:H352,"Car or van"))</f>
        <v/>
      </c>
      <c r="J352" s="24" t="str">
        <f aca="false">IF(F352="","",IF(H352="Car or van",IF(O352=0,TEXT(INDEX('Notes and sources'!$C$6:$D$6,1,'Start here'!$C$11)*100,"0")&amp;"p",IF(N352=0,TEXT(INDEX('Notes and sources'!$C$7:$D$7,1,'Start here'!$C$11)*100,"0")&amp;"p",TEXT(INDEX('Notes and sources'!$C$6:$D$6,1,'Start here'!$C$11)*100,"0")&amp;"p/"&amp;TEXT(INDEX('Notes and sources'!$C$7:$D$7,1,'Start here'!$C$11)*100,"0")&amp;"p")),IF(H352="Motorcycle",TEXT(INDEX('Notes and sources'!$C$8:$D$8,1,'Start here'!$C$11)*100,"0")&amp;"p",IF(H352="Bicycle",TEXT(INDEX('Notes and sources'!$C$9:$D$9,1,'Start here'!$C$11)*100,"0")&amp;"p",""))))</f>
        <v/>
      </c>
      <c r="K352" s="26" t="str">
        <f aca="false">IF(F352="","",ROUND(IF(H352="Car or van",N352*INDEX('Notes and sources'!$C$6:$D$6,1,'Start here'!$C$11)+O352*INDEX('Notes and sources'!$C$7:$D$7,1,'Start here'!$C$11)+N(G352)*N(F352)*INDEX('Notes and sources'!$C$10:$D$10,1,'Start here'!$C$11),IF(H352="Motorcycle",N(F352)*INDEX('Notes and sources'!$C$8:$D$8,1,'Start here'!$C$11),IF(H352="Bicycle",N(F352)*INDEX('Notes and sources'!$C$9:$D$9,1,'Start here'!$C$11),0))),2))</f>
        <v/>
      </c>
      <c r="L352" s="27"/>
      <c r="N352" s="2" t="n">
        <f aca="false">IF(I352="",0,MAX(0,MIN(N(F352),INDEX('Notes and sources'!$C$12:$D$12,1,'Start here'!$C$11)-(I352-N(F352)))))</f>
        <v>0</v>
      </c>
      <c r="O352" s="2" t="n">
        <f aca="false">IF(I352="",0,N(F352)-N352)</f>
        <v>0</v>
      </c>
      <c r="P352" s="2" t="str">
        <f aca="false">IF(A352="","",IF(AND(MONTH(A352)=4,DAY(A352)&lt;6),13,MOD(MONTH(A352)-4,12)+1))</f>
        <v/>
      </c>
    </row>
    <row r="353" customFormat="false" ht="15" hidden="false" customHeight="false" outlineLevel="0" collapsed="false">
      <c r="A353" s="21"/>
      <c r="B353" s="6"/>
      <c r="C353" s="6"/>
      <c r="D353" s="6"/>
      <c r="E353" s="6"/>
      <c r="F353" s="22"/>
      <c r="G353" s="23"/>
      <c r="H353" s="24" t="str">
        <f aca="false">IF(B353="","",IFERROR(INDEX('Start here'!$C$16:$C$20,MATCH(B353,'Start here'!$B$16:$B$20,0)),"Check vehicle"))</f>
        <v/>
      </c>
      <c r="I353" s="25" t="str">
        <f aca="false">IF(OR(F353="",H353&lt;&gt;"Car or van"),"",SUMIFS($F$6:F353,$H$6:H353,"Car or van"))</f>
        <v/>
      </c>
      <c r="J353" s="24" t="str">
        <f aca="false">IF(F353="","",IF(H353="Car or van",IF(O353=0,TEXT(INDEX('Notes and sources'!$C$6:$D$6,1,'Start here'!$C$11)*100,"0")&amp;"p",IF(N353=0,TEXT(INDEX('Notes and sources'!$C$7:$D$7,1,'Start here'!$C$11)*100,"0")&amp;"p",TEXT(INDEX('Notes and sources'!$C$6:$D$6,1,'Start here'!$C$11)*100,"0")&amp;"p/"&amp;TEXT(INDEX('Notes and sources'!$C$7:$D$7,1,'Start here'!$C$11)*100,"0")&amp;"p")),IF(H353="Motorcycle",TEXT(INDEX('Notes and sources'!$C$8:$D$8,1,'Start here'!$C$11)*100,"0")&amp;"p",IF(H353="Bicycle",TEXT(INDEX('Notes and sources'!$C$9:$D$9,1,'Start here'!$C$11)*100,"0")&amp;"p",""))))</f>
        <v/>
      </c>
      <c r="K353" s="26" t="str">
        <f aca="false">IF(F353="","",ROUND(IF(H353="Car or van",N353*INDEX('Notes and sources'!$C$6:$D$6,1,'Start here'!$C$11)+O353*INDEX('Notes and sources'!$C$7:$D$7,1,'Start here'!$C$11)+N(G353)*N(F353)*INDEX('Notes and sources'!$C$10:$D$10,1,'Start here'!$C$11),IF(H353="Motorcycle",N(F353)*INDEX('Notes and sources'!$C$8:$D$8,1,'Start here'!$C$11),IF(H353="Bicycle",N(F353)*INDEX('Notes and sources'!$C$9:$D$9,1,'Start here'!$C$11),0))),2))</f>
        <v/>
      </c>
      <c r="L353" s="27"/>
      <c r="N353" s="2" t="n">
        <f aca="false">IF(I353="",0,MAX(0,MIN(N(F353),INDEX('Notes and sources'!$C$12:$D$12,1,'Start here'!$C$11)-(I353-N(F353)))))</f>
        <v>0</v>
      </c>
      <c r="O353" s="2" t="n">
        <f aca="false">IF(I353="",0,N(F353)-N353)</f>
        <v>0</v>
      </c>
      <c r="P353" s="2" t="str">
        <f aca="false">IF(A353="","",IF(AND(MONTH(A353)=4,DAY(A353)&lt;6),13,MOD(MONTH(A353)-4,12)+1))</f>
        <v/>
      </c>
    </row>
    <row r="354" customFormat="false" ht="15" hidden="false" customHeight="false" outlineLevel="0" collapsed="false">
      <c r="A354" s="21"/>
      <c r="B354" s="6"/>
      <c r="C354" s="6"/>
      <c r="D354" s="6"/>
      <c r="E354" s="6"/>
      <c r="F354" s="22"/>
      <c r="G354" s="23"/>
      <c r="H354" s="24" t="str">
        <f aca="false">IF(B354="","",IFERROR(INDEX('Start here'!$C$16:$C$20,MATCH(B354,'Start here'!$B$16:$B$20,0)),"Check vehicle"))</f>
        <v/>
      </c>
      <c r="I354" s="25" t="str">
        <f aca="false">IF(OR(F354="",H354&lt;&gt;"Car or van"),"",SUMIFS($F$6:F354,$H$6:H354,"Car or van"))</f>
        <v/>
      </c>
      <c r="J354" s="24" t="str">
        <f aca="false">IF(F354="","",IF(H354="Car or van",IF(O354=0,TEXT(INDEX('Notes and sources'!$C$6:$D$6,1,'Start here'!$C$11)*100,"0")&amp;"p",IF(N354=0,TEXT(INDEX('Notes and sources'!$C$7:$D$7,1,'Start here'!$C$11)*100,"0")&amp;"p",TEXT(INDEX('Notes and sources'!$C$6:$D$6,1,'Start here'!$C$11)*100,"0")&amp;"p/"&amp;TEXT(INDEX('Notes and sources'!$C$7:$D$7,1,'Start here'!$C$11)*100,"0")&amp;"p")),IF(H354="Motorcycle",TEXT(INDEX('Notes and sources'!$C$8:$D$8,1,'Start here'!$C$11)*100,"0")&amp;"p",IF(H354="Bicycle",TEXT(INDEX('Notes and sources'!$C$9:$D$9,1,'Start here'!$C$11)*100,"0")&amp;"p",""))))</f>
        <v/>
      </c>
      <c r="K354" s="26" t="str">
        <f aca="false">IF(F354="","",ROUND(IF(H354="Car or van",N354*INDEX('Notes and sources'!$C$6:$D$6,1,'Start here'!$C$11)+O354*INDEX('Notes and sources'!$C$7:$D$7,1,'Start here'!$C$11)+N(G354)*N(F354)*INDEX('Notes and sources'!$C$10:$D$10,1,'Start here'!$C$11),IF(H354="Motorcycle",N(F354)*INDEX('Notes and sources'!$C$8:$D$8,1,'Start here'!$C$11),IF(H354="Bicycle",N(F354)*INDEX('Notes and sources'!$C$9:$D$9,1,'Start here'!$C$11),0))),2))</f>
        <v/>
      </c>
      <c r="L354" s="27"/>
      <c r="N354" s="2" t="n">
        <f aca="false">IF(I354="",0,MAX(0,MIN(N(F354),INDEX('Notes and sources'!$C$12:$D$12,1,'Start here'!$C$11)-(I354-N(F354)))))</f>
        <v>0</v>
      </c>
      <c r="O354" s="2" t="n">
        <f aca="false">IF(I354="",0,N(F354)-N354)</f>
        <v>0</v>
      </c>
      <c r="P354" s="2" t="str">
        <f aca="false">IF(A354="","",IF(AND(MONTH(A354)=4,DAY(A354)&lt;6),13,MOD(MONTH(A354)-4,12)+1))</f>
        <v/>
      </c>
    </row>
    <row r="355" customFormat="false" ht="15" hidden="false" customHeight="false" outlineLevel="0" collapsed="false">
      <c r="A355" s="21"/>
      <c r="B355" s="6"/>
      <c r="C355" s="6"/>
      <c r="D355" s="6"/>
      <c r="E355" s="6"/>
      <c r="F355" s="22"/>
      <c r="G355" s="23"/>
      <c r="H355" s="24" t="str">
        <f aca="false">IF(B355="","",IFERROR(INDEX('Start here'!$C$16:$C$20,MATCH(B355,'Start here'!$B$16:$B$20,0)),"Check vehicle"))</f>
        <v/>
      </c>
      <c r="I355" s="25" t="str">
        <f aca="false">IF(OR(F355="",H355&lt;&gt;"Car or van"),"",SUMIFS($F$6:F355,$H$6:H355,"Car or van"))</f>
        <v/>
      </c>
      <c r="J355" s="24" t="str">
        <f aca="false">IF(F355="","",IF(H355="Car or van",IF(O355=0,TEXT(INDEX('Notes and sources'!$C$6:$D$6,1,'Start here'!$C$11)*100,"0")&amp;"p",IF(N355=0,TEXT(INDEX('Notes and sources'!$C$7:$D$7,1,'Start here'!$C$11)*100,"0")&amp;"p",TEXT(INDEX('Notes and sources'!$C$6:$D$6,1,'Start here'!$C$11)*100,"0")&amp;"p/"&amp;TEXT(INDEX('Notes and sources'!$C$7:$D$7,1,'Start here'!$C$11)*100,"0")&amp;"p")),IF(H355="Motorcycle",TEXT(INDEX('Notes and sources'!$C$8:$D$8,1,'Start here'!$C$11)*100,"0")&amp;"p",IF(H355="Bicycle",TEXT(INDEX('Notes and sources'!$C$9:$D$9,1,'Start here'!$C$11)*100,"0")&amp;"p",""))))</f>
        <v/>
      </c>
      <c r="K355" s="26" t="str">
        <f aca="false">IF(F355="","",ROUND(IF(H355="Car or van",N355*INDEX('Notes and sources'!$C$6:$D$6,1,'Start here'!$C$11)+O355*INDEX('Notes and sources'!$C$7:$D$7,1,'Start here'!$C$11)+N(G355)*N(F355)*INDEX('Notes and sources'!$C$10:$D$10,1,'Start here'!$C$11),IF(H355="Motorcycle",N(F355)*INDEX('Notes and sources'!$C$8:$D$8,1,'Start here'!$C$11),IF(H355="Bicycle",N(F355)*INDEX('Notes and sources'!$C$9:$D$9,1,'Start here'!$C$11),0))),2))</f>
        <v/>
      </c>
      <c r="L355" s="27"/>
      <c r="N355" s="2" t="n">
        <f aca="false">IF(I355="",0,MAX(0,MIN(N(F355),INDEX('Notes and sources'!$C$12:$D$12,1,'Start here'!$C$11)-(I355-N(F355)))))</f>
        <v>0</v>
      </c>
      <c r="O355" s="2" t="n">
        <f aca="false">IF(I355="",0,N(F355)-N355)</f>
        <v>0</v>
      </c>
      <c r="P355" s="2" t="str">
        <f aca="false">IF(A355="","",IF(AND(MONTH(A355)=4,DAY(A355)&lt;6),13,MOD(MONTH(A355)-4,12)+1))</f>
        <v/>
      </c>
    </row>
    <row r="356" customFormat="false" ht="15" hidden="false" customHeight="false" outlineLevel="0" collapsed="false">
      <c r="A356" s="21"/>
      <c r="B356" s="6"/>
      <c r="C356" s="6"/>
      <c r="D356" s="6"/>
      <c r="E356" s="6"/>
      <c r="F356" s="22"/>
      <c r="G356" s="23"/>
      <c r="H356" s="24" t="str">
        <f aca="false">IF(B356="","",IFERROR(INDEX('Start here'!$C$16:$C$20,MATCH(B356,'Start here'!$B$16:$B$20,0)),"Check vehicle"))</f>
        <v/>
      </c>
      <c r="I356" s="25" t="str">
        <f aca="false">IF(OR(F356="",H356&lt;&gt;"Car or van"),"",SUMIFS($F$6:F356,$H$6:H356,"Car or van"))</f>
        <v/>
      </c>
      <c r="J356" s="24" t="str">
        <f aca="false">IF(F356="","",IF(H356="Car or van",IF(O356=0,TEXT(INDEX('Notes and sources'!$C$6:$D$6,1,'Start here'!$C$11)*100,"0")&amp;"p",IF(N356=0,TEXT(INDEX('Notes and sources'!$C$7:$D$7,1,'Start here'!$C$11)*100,"0")&amp;"p",TEXT(INDEX('Notes and sources'!$C$6:$D$6,1,'Start here'!$C$11)*100,"0")&amp;"p/"&amp;TEXT(INDEX('Notes and sources'!$C$7:$D$7,1,'Start here'!$C$11)*100,"0")&amp;"p")),IF(H356="Motorcycle",TEXT(INDEX('Notes and sources'!$C$8:$D$8,1,'Start here'!$C$11)*100,"0")&amp;"p",IF(H356="Bicycle",TEXT(INDEX('Notes and sources'!$C$9:$D$9,1,'Start here'!$C$11)*100,"0")&amp;"p",""))))</f>
        <v/>
      </c>
      <c r="K356" s="26" t="str">
        <f aca="false">IF(F356="","",ROUND(IF(H356="Car or van",N356*INDEX('Notes and sources'!$C$6:$D$6,1,'Start here'!$C$11)+O356*INDEX('Notes and sources'!$C$7:$D$7,1,'Start here'!$C$11)+N(G356)*N(F356)*INDEX('Notes and sources'!$C$10:$D$10,1,'Start here'!$C$11),IF(H356="Motorcycle",N(F356)*INDEX('Notes and sources'!$C$8:$D$8,1,'Start here'!$C$11),IF(H356="Bicycle",N(F356)*INDEX('Notes and sources'!$C$9:$D$9,1,'Start here'!$C$11),0))),2))</f>
        <v/>
      </c>
      <c r="L356" s="27"/>
      <c r="N356" s="2" t="n">
        <f aca="false">IF(I356="",0,MAX(0,MIN(N(F356),INDEX('Notes and sources'!$C$12:$D$12,1,'Start here'!$C$11)-(I356-N(F356)))))</f>
        <v>0</v>
      </c>
      <c r="O356" s="2" t="n">
        <f aca="false">IF(I356="",0,N(F356)-N356)</f>
        <v>0</v>
      </c>
      <c r="P356" s="2" t="str">
        <f aca="false">IF(A356="","",IF(AND(MONTH(A356)=4,DAY(A356)&lt;6),13,MOD(MONTH(A356)-4,12)+1))</f>
        <v/>
      </c>
    </row>
    <row r="357" customFormat="false" ht="15" hidden="false" customHeight="false" outlineLevel="0" collapsed="false">
      <c r="A357" s="21"/>
      <c r="B357" s="6"/>
      <c r="C357" s="6"/>
      <c r="D357" s="6"/>
      <c r="E357" s="6"/>
      <c r="F357" s="22"/>
      <c r="G357" s="23"/>
      <c r="H357" s="24" t="str">
        <f aca="false">IF(B357="","",IFERROR(INDEX('Start here'!$C$16:$C$20,MATCH(B357,'Start here'!$B$16:$B$20,0)),"Check vehicle"))</f>
        <v/>
      </c>
      <c r="I357" s="25" t="str">
        <f aca="false">IF(OR(F357="",H357&lt;&gt;"Car or van"),"",SUMIFS($F$6:F357,$H$6:H357,"Car or van"))</f>
        <v/>
      </c>
      <c r="J357" s="24" t="str">
        <f aca="false">IF(F357="","",IF(H357="Car or van",IF(O357=0,TEXT(INDEX('Notes and sources'!$C$6:$D$6,1,'Start here'!$C$11)*100,"0")&amp;"p",IF(N357=0,TEXT(INDEX('Notes and sources'!$C$7:$D$7,1,'Start here'!$C$11)*100,"0")&amp;"p",TEXT(INDEX('Notes and sources'!$C$6:$D$6,1,'Start here'!$C$11)*100,"0")&amp;"p/"&amp;TEXT(INDEX('Notes and sources'!$C$7:$D$7,1,'Start here'!$C$11)*100,"0")&amp;"p")),IF(H357="Motorcycle",TEXT(INDEX('Notes and sources'!$C$8:$D$8,1,'Start here'!$C$11)*100,"0")&amp;"p",IF(H357="Bicycle",TEXT(INDEX('Notes and sources'!$C$9:$D$9,1,'Start here'!$C$11)*100,"0")&amp;"p",""))))</f>
        <v/>
      </c>
      <c r="K357" s="26" t="str">
        <f aca="false">IF(F357="","",ROUND(IF(H357="Car or van",N357*INDEX('Notes and sources'!$C$6:$D$6,1,'Start here'!$C$11)+O357*INDEX('Notes and sources'!$C$7:$D$7,1,'Start here'!$C$11)+N(G357)*N(F357)*INDEX('Notes and sources'!$C$10:$D$10,1,'Start here'!$C$11),IF(H357="Motorcycle",N(F357)*INDEX('Notes and sources'!$C$8:$D$8,1,'Start here'!$C$11),IF(H357="Bicycle",N(F357)*INDEX('Notes and sources'!$C$9:$D$9,1,'Start here'!$C$11),0))),2))</f>
        <v/>
      </c>
      <c r="L357" s="27"/>
      <c r="N357" s="2" t="n">
        <f aca="false">IF(I357="",0,MAX(0,MIN(N(F357),INDEX('Notes and sources'!$C$12:$D$12,1,'Start here'!$C$11)-(I357-N(F357)))))</f>
        <v>0</v>
      </c>
      <c r="O357" s="2" t="n">
        <f aca="false">IF(I357="",0,N(F357)-N357)</f>
        <v>0</v>
      </c>
      <c r="P357" s="2" t="str">
        <f aca="false">IF(A357="","",IF(AND(MONTH(A357)=4,DAY(A357)&lt;6),13,MOD(MONTH(A357)-4,12)+1))</f>
        <v/>
      </c>
    </row>
    <row r="358" customFormat="false" ht="15" hidden="false" customHeight="false" outlineLevel="0" collapsed="false">
      <c r="A358" s="21"/>
      <c r="B358" s="6"/>
      <c r="C358" s="6"/>
      <c r="D358" s="6"/>
      <c r="E358" s="6"/>
      <c r="F358" s="22"/>
      <c r="G358" s="23"/>
      <c r="H358" s="24" t="str">
        <f aca="false">IF(B358="","",IFERROR(INDEX('Start here'!$C$16:$C$20,MATCH(B358,'Start here'!$B$16:$B$20,0)),"Check vehicle"))</f>
        <v/>
      </c>
      <c r="I358" s="25" t="str">
        <f aca="false">IF(OR(F358="",H358&lt;&gt;"Car or van"),"",SUMIFS($F$6:F358,$H$6:H358,"Car or van"))</f>
        <v/>
      </c>
      <c r="J358" s="24" t="str">
        <f aca="false">IF(F358="","",IF(H358="Car or van",IF(O358=0,TEXT(INDEX('Notes and sources'!$C$6:$D$6,1,'Start here'!$C$11)*100,"0")&amp;"p",IF(N358=0,TEXT(INDEX('Notes and sources'!$C$7:$D$7,1,'Start here'!$C$11)*100,"0")&amp;"p",TEXT(INDEX('Notes and sources'!$C$6:$D$6,1,'Start here'!$C$11)*100,"0")&amp;"p/"&amp;TEXT(INDEX('Notes and sources'!$C$7:$D$7,1,'Start here'!$C$11)*100,"0")&amp;"p")),IF(H358="Motorcycle",TEXT(INDEX('Notes and sources'!$C$8:$D$8,1,'Start here'!$C$11)*100,"0")&amp;"p",IF(H358="Bicycle",TEXT(INDEX('Notes and sources'!$C$9:$D$9,1,'Start here'!$C$11)*100,"0")&amp;"p",""))))</f>
        <v/>
      </c>
      <c r="K358" s="26" t="str">
        <f aca="false">IF(F358="","",ROUND(IF(H358="Car or van",N358*INDEX('Notes and sources'!$C$6:$D$6,1,'Start here'!$C$11)+O358*INDEX('Notes and sources'!$C$7:$D$7,1,'Start here'!$C$11)+N(G358)*N(F358)*INDEX('Notes and sources'!$C$10:$D$10,1,'Start here'!$C$11),IF(H358="Motorcycle",N(F358)*INDEX('Notes and sources'!$C$8:$D$8,1,'Start here'!$C$11),IF(H358="Bicycle",N(F358)*INDEX('Notes and sources'!$C$9:$D$9,1,'Start here'!$C$11),0))),2))</f>
        <v/>
      </c>
      <c r="L358" s="27"/>
      <c r="N358" s="2" t="n">
        <f aca="false">IF(I358="",0,MAX(0,MIN(N(F358),INDEX('Notes and sources'!$C$12:$D$12,1,'Start here'!$C$11)-(I358-N(F358)))))</f>
        <v>0</v>
      </c>
      <c r="O358" s="2" t="n">
        <f aca="false">IF(I358="",0,N(F358)-N358)</f>
        <v>0</v>
      </c>
      <c r="P358" s="2" t="str">
        <f aca="false">IF(A358="","",IF(AND(MONTH(A358)=4,DAY(A358)&lt;6),13,MOD(MONTH(A358)-4,12)+1))</f>
        <v/>
      </c>
    </row>
    <row r="359" customFormat="false" ht="15" hidden="false" customHeight="false" outlineLevel="0" collapsed="false">
      <c r="A359" s="21"/>
      <c r="B359" s="6"/>
      <c r="C359" s="6"/>
      <c r="D359" s="6"/>
      <c r="E359" s="6"/>
      <c r="F359" s="22"/>
      <c r="G359" s="23"/>
      <c r="H359" s="24" t="str">
        <f aca="false">IF(B359="","",IFERROR(INDEX('Start here'!$C$16:$C$20,MATCH(B359,'Start here'!$B$16:$B$20,0)),"Check vehicle"))</f>
        <v/>
      </c>
      <c r="I359" s="25" t="str">
        <f aca="false">IF(OR(F359="",H359&lt;&gt;"Car or van"),"",SUMIFS($F$6:F359,$H$6:H359,"Car or van"))</f>
        <v/>
      </c>
      <c r="J359" s="24" t="str">
        <f aca="false">IF(F359="","",IF(H359="Car or van",IF(O359=0,TEXT(INDEX('Notes and sources'!$C$6:$D$6,1,'Start here'!$C$11)*100,"0")&amp;"p",IF(N359=0,TEXT(INDEX('Notes and sources'!$C$7:$D$7,1,'Start here'!$C$11)*100,"0")&amp;"p",TEXT(INDEX('Notes and sources'!$C$6:$D$6,1,'Start here'!$C$11)*100,"0")&amp;"p/"&amp;TEXT(INDEX('Notes and sources'!$C$7:$D$7,1,'Start here'!$C$11)*100,"0")&amp;"p")),IF(H359="Motorcycle",TEXT(INDEX('Notes and sources'!$C$8:$D$8,1,'Start here'!$C$11)*100,"0")&amp;"p",IF(H359="Bicycle",TEXT(INDEX('Notes and sources'!$C$9:$D$9,1,'Start here'!$C$11)*100,"0")&amp;"p",""))))</f>
        <v/>
      </c>
      <c r="K359" s="26" t="str">
        <f aca="false">IF(F359="","",ROUND(IF(H359="Car or van",N359*INDEX('Notes and sources'!$C$6:$D$6,1,'Start here'!$C$11)+O359*INDEX('Notes and sources'!$C$7:$D$7,1,'Start here'!$C$11)+N(G359)*N(F359)*INDEX('Notes and sources'!$C$10:$D$10,1,'Start here'!$C$11),IF(H359="Motorcycle",N(F359)*INDEX('Notes and sources'!$C$8:$D$8,1,'Start here'!$C$11),IF(H359="Bicycle",N(F359)*INDEX('Notes and sources'!$C$9:$D$9,1,'Start here'!$C$11),0))),2))</f>
        <v/>
      </c>
      <c r="L359" s="27"/>
      <c r="N359" s="2" t="n">
        <f aca="false">IF(I359="",0,MAX(0,MIN(N(F359),INDEX('Notes and sources'!$C$12:$D$12,1,'Start here'!$C$11)-(I359-N(F359)))))</f>
        <v>0</v>
      </c>
      <c r="O359" s="2" t="n">
        <f aca="false">IF(I359="",0,N(F359)-N359)</f>
        <v>0</v>
      </c>
      <c r="P359" s="2" t="str">
        <f aca="false">IF(A359="","",IF(AND(MONTH(A359)=4,DAY(A359)&lt;6),13,MOD(MONTH(A359)-4,12)+1))</f>
        <v/>
      </c>
    </row>
    <row r="360" customFormat="false" ht="15" hidden="false" customHeight="false" outlineLevel="0" collapsed="false">
      <c r="A360" s="21"/>
      <c r="B360" s="6"/>
      <c r="C360" s="6"/>
      <c r="D360" s="6"/>
      <c r="E360" s="6"/>
      <c r="F360" s="22"/>
      <c r="G360" s="23"/>
      <c r="H360" s="24" t="str">
        <f aca="false">IF(B360="","",IFERROR(INDEX('Start here'!$C$16:$C$20,MATCH(B360,'Start here'!$B$16:$B$20,0)),"Check vehicle"))</f>
        <v/>
      </c>
      <c r="I360" s="25" t="str">
        <f aca="false">IF(OR(F360="",H360&lt;&gt;"Car or van"),"",SUMIFS($F$6:F360,$H$6:H360,"Car or van"))</f>
        <v/>
      </c>
      <c r="J360" s="24" t="str">
        <f aca="false">IF(F360="","",IF(H360="Car or van",IF(O360=0,TEXT(INDEX('Notes and sources'!$C$6:$D$6,1,'Start here'!$C$11)*100,"0")&amp;"p",IF(N360=0,TEXT(INDEX('Notes and sources'!$C$7:$D$7,1,'Start here'!$C$11)*100,"0")&amp;"p",TEXT(INDEX('Notes and sources'!$C$6:$D$6,1,'Start here'!$C$11)*100,"0")&amp;"p/"&amp;TEXT(INDEX('Notes and sources'!$C$7:$D$7,1,'Start here'!$C$11)*100,"0")&amp;"p")),IF(H360="Motorcycle",TEXT(INDEX('Notes and sources'!$C$8:$D$8,1,'Start here'!$C$11)*100,"0")&amp;"p",IF(H360="Bicycle",TEXT(INDEX('Notes and sources'!$C$9:$D$9,1,'Start here'!$C$11)*100,"0")&amp;"p",""))))</f>
        <v/>
      </c>
      <c r="K360" s="26" t="str">
        <f aca="false">IF(F360="","",ROUND(IF(H360="Car or van",N360*INDEX('Notes and sources'!$C$6:$D$6,1,'Start here'!$C$11)+O360*INDEX('Notes and sources'!$C$7:$D$7,1,'Start here'!$C$11)+N(G360)*N(F360)*INDEX('Notes and sources'!$C$10:$D$10,1,'Start here'!$C$11),IF(H360="Motorcycle",N(F360)*INDEX('Notes and sources'!$C$8:$D$8,1,'Start here'!$C$11),IF(H360="Bicycle",N(F360)*INDEX('Notes and sources'!$C$9:$D$9,1,'Start here'!$C$11),0))),2))</f>
        <v/>
      </c>
      <c r="L360" s="27"/>
      <c r="N360" s="2" t="n">
        <f aca="false">IF(I360="",0,MAX(0,MIN(N(F360),INDEX('Notes and sources'!$C$12:$D$12,1,'Start here'!$C$11)-(I360-N(F360)))))</f>
        <v>0</v>
      </c>
      <c r="O360" s="2" t="n">
        <f aca="false">IF(I360="",0,N(F360)-N360)</f>
        <v>0</v>
      </c>
      <c r="P360" s="2" t="str">
        <f aca="false">IF(A360="","",IF(AND(MONTH(A360)=4,DAY(A360)&lt;6),13,MOD(MONTH(A360)-4,12)+1))</f>
        <v/>
      </c>
    </row>
    <row r="361" customFormat="false" ht="15" hidden="false" customHeight="false" outlineLevel="0" collapsed="false">
      <c r="A361" s="21"/>
      <c r="B361" s="6"/>
      <c r="C361" s="6"/>
      <c r="D361" s="6"/>
      <c r="E361" s="6"/>
      <c r="F361" s="22"/>
      <c r="G361" s="23"/>
      <c r="H361" s="24" t="str">
        <f aca="false">IF(B361="","",IFERROR(INDEX('Start here'!$C$16:$C$20,MATCH(B361,'Start here'!$B$16:$B$20,0)),"Check vehicle"))</f>
        <v/>
      </c>
      <c r="I361" s="25" t="str">
        <f aca="false">IF(OR(F361="",H361&lt;&gt;"Car or van"),"",SUMIFS($F$6:F361,$H$6:H361,"Car or van"))</f>
        <v/>
      </c>
      <c r="J361" s="24" t="str">
        <f aca="false">IF(F361="","",IF(H361="Car or van",IF(O361=0,TEXT(INDEX('Notes and sources'!$C$6:$D$6,1,'Start here'!$C$11)*100,"0")&amp;"p",IF(N361=0,TEXT(INDEX('Notes and sources'!$C$7:$D$7,1,'Start here'!$C$11)*100,"0")&amp;"p",TEXT(INDEX('Notes and sources'!$C$6:$D$6,1,'Start here'!$C$11)*100,"0")&amp;"p/"&amp;TEXT(INDEX('Notes and sources'!$C$7:$D$7,1,'Start here'!$C$11)*100,"0")&amp;"p")),IF(H361="Motorcycle",TEXT(INDEX('Notes and sources'!$C$8:$D$8,1,'Start here'!$C$11)*100,"0")&amp;"p",IF(H361="Bicycle",TEXT(INDEX('Notes and sources'!$C$9:$D$9,1,'Start here'!$C$11)*100,"0")&amp;"p",""))))</f>
        <v/>
      </c>
      <c r="K361" s="26" t="str">
        <f aca="false">IF(F361="","",ROUND(IF(H361="Car or van",N361*INDEX('Notes and sources'!$C$6:$D$6,1,'Start here'!$C$11)+O361*INDEX('Notes and sources'!$C$7:$D$7,1,'Start here'!$C$11)+N(G361)*N(F361)*INDEX('Notes and sources'!$C$10:$D$10,1,'Start here'!$C$11),IF(H361="Motorcycle",N(F361)*INDEX('Notes and sources'!$C$8:$D$8,1,'Start here'!$C$11),IF(H361="Bicycle",N(F361)*INDEX('Notes and sources'!$C$9:$D$9,1,'Start here'!$C$11),0))),2))</f>
        <v/>
      </c>
      <c r="L361" s="27"/>
      <c r="N361" s="2" t="n">
        <f aca="false">IF(I361="",0,MAX(0,MIN(N(F361),INDEX('Notes and sources'!$C$12:$D$12,1,'Start here'!$C$11)-(I361-N(F361)))))</f>
        <v>0</v>
      </c>
      <c r="O361" s="2" t="n">
        <f aca="false">IF(I361="",0,N(F361)-N361)</f>
        <v>0</v>
      </c>
      <c r="P361" s="2" t="str">
        <f aca="false">IF(A361="","",IF(AND(MONTH(A361)=4,DAY(A361)&lt;6),13,MOD(MONTH(A361)-4,12)+1))</f>
        <v/>
      </c>
    </row>
    <row r="362" customFormat="false" ht="15" hidden="false" customHeight="false" outlineLevel="0" collapsed="false">
      <c r="A362" s="21"/>
      <c r="B362" s="6"/>
      <c r="C362" s="6"/>
      <c r="D362" s="6"/>
      <c r="E362" s="6"/>
      <c r="F362" s="22"/>
      <c r="G362" s="23"/>
      <c r="H362" s="24" t="str">
        <f aca="false">IF(B362="","",IFERROR(INDEX('Start here'!$C$16:$C$20,MATCH(B362,'Start here'!$B$16:$B$20,0)),"Check vehicle"))</f>
        <v/>
      </c>
      <c r="I362" s="25" t="str">
        <f aca="false">IF(OR(F362="",H362&lt;&gt;"Car or van"),"",SUMIFS($F$6:F362,$H$6:H362,"Car or van"))</f>
        <v/>
      </c>
      <c r="J362" s="24" t="str">
        <f aca="false">IF(F362="","",IF(H362="Car or van",IF(O362=0,TEXT(INDEX('Notes and sources'!$C$6:$D$6,1,'Start here'!$C$11)*100,"0")&amp;"p",IF(N362=0,TEXT(INDEX('Notes and sources'!$C$7:$D$7,1,'Start here'!$C$11)*100,"0")&amp;"p",TEXT(INDEX('Notes and sources'!$C$6:$D$6,1,'Start here'!$C$11)*100,"0")&amp;"p/"&amp;TEXT(INDEX('Notes and sources'!$C$7:$D$7,1,'Start here'!$C$11)*100,"0")&amp;"p")),IF(H362="Motorcycle",TEXT(INDEX('Notes and sources'!$C$8:$D$8,1,'Start here'!$C$11)*100,"0")&amp;"p",IF(H362="Bicycle",TEXT(INDEX('Notes and sources'!$C$9:$D$9,1,'Start here'!$C$11)*100,"0")&amp;"p",""))))</f>
        <v/>
      </c>
      <c r="K362" s="26" t="str">
        <f aca="false">IF(F362="","",ROUND(IF(H362="Car or van",N362*INDEX('Notes and sources'!$C$6:$D$6,1,'Start here'!$C$11)+O362*INDEX('Notes and sources'!$C$7:$D$7,1,'Start here'!$C$11)+N(G362)*N(F362)*INDEX('Notes and sources'!$C$10:$D$10,1,'Start here'!$C$11),IF(H362="Motorcycle",N(F362)*INDEX('Notes and sources'!$C$8:$D$8,1,'Start here'!$C$11),IF(H362="Bicycle",N(F362)*INDEX('Notes and sources'!$C$9:$D$9,1,'Start here'!$C$11),0))),2))</f>
        <v/>
      </c>
      <c r="L362" s="27"/>
      <c r="N362" s="2" t="n">
        <f aca="false">IF(I362="",0,MAX(0,MIN(N(F362),INDEX('Notes and sources'!$C$12:$D$12,1,'Start here'!$C$11)-(I362-N(F362)))))</f>
        <v>0</v>
      </c>
      <c r="O362" s="2" t="n">
        <f aca="false">IF(I362="",0,N(F362)-N362)</f>
        <v>0</v>
      </c>
      <c r="P362" s="2" t="str">
        <f aca="false">IF(A362="","",IF(AND(MONTH(A362)=4,DAY(A362)&lt;6),13,MOD(MONTH(A362)-4,12)+1))</f>
        <v/>
      </c>
    </row>
    <row r="363" customFormat="false" ht="15" hidden="false" customHeight="false" outlineLevel="0" collapsed="false">
      <c r="A363" s="21"/>
      <c r="B363" s="6"/>
      <c r="C363" s="6"/>
      <c r="D363" s="6"/>
      <c r="E363" s="6"/>
      <c r="F363" s="22"/>
      <c r="G363" s="23"/>
      <c r="H363" s="24" t="str">
        <f aca="false">IF(B363="","",IFERROR(INDEX('Start here'!$C$16:$C$20,MATCH(B363,'Start here'!$B$16:$B$20,0)),"Check vehicle"))</f>
        <v/>
      </c>
      <c r="I363" s="25" t="str">
        <f aca="false">IF(OR(F363="",H363&lt;&gt;"Car or van"),"",SUMIFS($F$6:F363,$H$6:H363,"Car or van"))</f>
        <v/>
      </c>
      <c r="J363" s="24" t="str">
        <f aca="false">IF(F363="","",IF(H363="Car or van",IF(O363=0,TEXT(INDEX('Notes and sources'!$C$6:$D$6,1,'Start here'!$C$11)*100,"0")&amp;"p",IF(N363=0,TEXT(INDEX('Notes and sources'!$C$7:$D$7,1,'Start here'!$C$11)*100,"0")&amp;"p",TEXT(INDEX('Notes and sources'!$C$6:$D$6,1,'Start here'!$C$11)*100,"0")&amp;"p/"&amp;TEXT(INDEX('Notes and sources'!$C$7:$D$7,1,'Start here'!$C$11)*100,"0")&amp;"p")),IF(H363="Motorcycle",TEXT(INDEX('Notes and sources'!$C$8:$D$8,1,'Start here'!$C$11)*100,"0")&amp;"p",IF(H363="Bicycle",TEXT(INDEX('Notes and sources'!$C$9:$D$9,1,'Start here'!$C$11)*100,"0")&amp;"p",""))))</f>
        <v/>
      </c>
      <c r="K363" s="26" t="str">
        <f aca="false">IF(F363="","",ROUND(IF(H363="Car or van",N363*INDEX('Notes and sources'!$C$6:$D$6,1,'Start here'!$C$11)+O363*INDEX('Notes and sources'!$C$7:$D$7,1,'Start here'!$C$11)+N(G363)*N(F363)*INDEX('Notes and sources'!$C$10:$D$10,1,'Start here'!$C$11),IF(H363="Motorcycle",N(F363)*INDEX('Notes and sources'!$C$8:$D$8,1,'Start here'!$C$11),IF(H363="Bicycle",N(F363)*INDEX('Notes and sources'!$C$9:$D$9,1,'Start here'!$C$11),0))),2))</f>
        <v/>
      </c>
      <c r="L363" s="27"/>
      <c r="N363" s="2" t="n">
        <f aca="false">IF(I363="",0,MAX(0,MIN(N(F363),INDEX('Notes and sources'!$C$12:$D$12,1,'Start here'!$C$11)-(I363-N(F363)))))</f>
        <v>0</v>
      </c>
      <c r="O363" s="2" t="n">
        <f aca="false">IF(I363="",0,N(F363)-N363)</f>
        <v>0</v>
      </c>
      <c r="P363" s="2" t="str">
        <f aca="false">IF(A363="","",IF(AND(MONTH(A363)=4,DAY(A363)&lt;6),13,MOD(MONTH(A363)-4,12)+1))</f>
        <v/>
      </c>
    </row>
    <row r="364" customFormat="false" ht="15" hidden="false" customHeight="false" outlineLevel="0" collapsed="false">
      <c r="A364" s="21"/>
      <c r="B364" s="6"/>
      <c r="C364" s="6"/>
      <c r="D364" s="6"/>
      <c r="E364" s="6"/>
      <c r="F364" s="22"/>
      <c r="G364" s="23"/>
      <c r="H364" s="24" t="str">
        <f aca="false">IF(B364="","",IFERROR(INDEX('Start here'!$C$16:$C$20,MATCH(B364,'Start here'!$B$16:$B$20,0)),"Check vehicle"))</f>
        <v/>
      </c>
      <c r="I364" s="25" t="str">
        <f aca="false">IF(OR(F364="",H364&lt;&gt;"Car or van"),"",SUMIFS($F$6:F364,$H$6:H364,"Car or van"))</f>
        <v/>
      </c>
      <c r="J364" s="24" t="str">
        <f aca="false">IF(F364="","",IF(H364="Car or van",IF(O364=0,TEXT(INDEX('Notes and sources'!$C$6:$D$6,1,'Start here'!$C$11)*100,"0")&amp;"p",IF(N364=0,TEXT(INDEX('Notes and sources'!$C$7:$D$7,1,'Start here'!$C$11)*100,"0")&amp;"p",TEXT(INDEX('Notes and sources'!$C$6:$D$6,1,'Start here'!$C$11)*100,"0")&amp;"p/"&amp;TEXT(INDEX('Notes and sources'!$C$7:$D$7,1,'Start here'!$C$11)*100,"0")&amp;"p")),IF(H364="Motorcycle",TEXT(INDEX('Notes and sources'!$C$8:$D$8,1,'Start here'!$C$11)*100,"0")&amp;"p",IF(H364="Bicycle",TEXT(INDEX('Notes and sources'!$C$9:$D$9,1,'Start here'!$C$11)*100,"0")&amp;"p",""))))</f>
        <v/>
      </c>
      <c r="K364" s="26" t="str">
        <f aca="false">IF(F364="","",ROUND(IF(H364="Car or van",N364*INDEX('Notes and sources'!$C$6:$D$6,1,'Start here'!$C$11)+O364*INDEX('Notes and sources'!$C$7:$D$7,1,'Start here'!$C$11)+N(G364)*N(F364)*INDEX('Notes and sources'!$C$10:$D$10,1,'Start here'!$C$11),IF(H364="Motorcycle",N(F364)*INDEX('Notes and sources'!$C$8:$D$8,1,'Start here'!$C$11),IF(H364="Bicycle",N(F364)*INDEX('Notes and sources'!$C$9:$D$9,1,'Start here'!$C$11),0))),2))</f>
        <v/>
      </c>
      <c r="L364" s="27"/>
      <c r="N364" s="2" t="n">
        <f aca="false">IF(I364="",0,MAX(0,MIN(N(F364),INDEX('Notes and sources'!$C$12:$D$12,1,'Start here'!$C$11)-(I364-N(F364)))))</f>
        <v>0</v>
      </c>
      <c r="O364" s="2" t="n">
        <f aca="false">IF(I364="",0,N(F364)-N364)</f>
        <v>0</v>
      </c>
      <c r="P364" s="2" t="str">
        <f aca="false">IF(A364="","",IF(AND(MONTH(A364)=4,DAY(A364)&lt;6),13,MOD(MONTH(A364)-4,12)+1))</f>
        <v/>
      </c>
    </row>
    <row r="365" customFormat="false" ht="15" hidden="false" customHeight="false" outlineLevel="0" collapsed="false">
      <c r="A365" s="21"/>
      <c r="B365" s="6"/>
      <c r="C365" s="6"/>
      <c r="D365" s="6"/>
      <c r="E365" s="6"/>
      <c r="F365" s="22"/>
      <c r="G365" s="23"/>
      <c r="H365" s="24" t="str">
        <f aca="false">IF(B365="","",IFERROR(INDEX('Start here'!$C$16:$C$20,MATCH(B365,'Start here'!$B$16:$B$20,0)),"Check vehicle"))</f>
        <v/>
      </c>
      <c r="I365" s="25" t="str">
        <f aca="false">IF(OR(F365="",H365&lt;&gt;"Car or van"),"",SUMIFS($F$6:F365,$H$6:H365,"Car or van"))</f>
        <v/>
      </c>
      <c r="J365" s="24" t="str">
        <f aca="false">IF(F365="","",IF(H365="Car or van",IF(O365=0,TEXT(INDEX('Notes and sources'!$C$6:$D$6,1,'Start here'!$C$11)*100,"0")&amp;"p",IF(N365=0,TEXT(INDEX('Notes and sources'!$C$7:$D$7,1,'Start here'!$C$11)*100,"0")&amp;"p",TEXT(INDEX('Notes and sources'!$C$6:$D$6,1,'Start here'!$C$11)*100,"0")&amp;"p/"&amp;TEXT(INDEX('Notes and sources'!$C$7:$D$7,1,'Start here'!$C$11)*100,"0")&amp;"p")),IF(H365="Motorcycle",TEXT(INDEX('Notes and sources'!$C$8:$D$8,1,'Start here'!$C$11)*100,"0")&amp;"p",IF(H365="Bicycle",TEXT(INDEX('Notes and sources'!$C$9:$D$9,1,'Start here'!$C$11)*100,"0")&amp;"p",""))))</f>
        <v/>
      </c>
      <c r="K365" s="26" t="str">
        <f aca="false">IF(F365="","",ROUND(IF(H365="Car or van",N365*INDEX('Notes and sources'!$C$6:$D$6,1,'Start here'!$C$11)+O365*INDEX('Notes and sources'!$C$7:$D$7,1,'Start here'!$C$11)+N(G365)*N(F365)*INDEX('Notes and sources'!$C$10:$D$10,1,'Start here'!$C$11),IF(H365="Motorcycle",N(F365)*INDEX('Notes and sources'!$C$8:$D$8,1,'Start here'!$C$11),IF(H365="Bicycle",N(F365)*INDEX('Notes and sources'!$C$9:$D$9,1,'Start here'!$C$11),0))),2))</f>
        <v/>
      </c>
      <c r="L365" s="27"/>
      <c r="N365" s="2" t="n">
        <f aca="false">IF(I365="",0,MAX(0,MIN(N(F365),INDEX('Notes and sources'!$C$12:$D$12,1,'Start here'!$C$11)-(I365-N(F365)))))</f>
        <v>0</v>
      </c>
      <c r="O365" s="2" t="n">
        <f aca="false">IF(I365="",0,N(F365)-N365)</f>
        <v>0</v>
      </c>
      <c r="P365" s="2" t="str">
        <f aca="false">IF(A365="","",IF(AND(MONTH(A365)=4,DAY(A365)&lt;6),13,MOD(MONTH(A365)-4,12)+1))</f>
        <v/>
      </c>
    </row>
    <row r="366" customFormat="false" ht="15" hidden="false" customHeight="false" outlineLevel="0" collapsed="false">
      <c r="A366" s="21"/>
      <c r="B366" s="6"/>
      <c r="C366" s="6"/>
      <c r="D366" s="6"/>
      <c r="E366" s="6"/>
      <c r="F366" s="22"/>
      <c r="G366" s="23"/>
      <c r="H366" s="24" t="str">
        <f aca="false">IF(B366="","",IFERROR(INDEX('Start here'!$C$16:$C$20,MATCH(B366,'Start here'!$B$16:$B$20,0)),"Check vehicle"))</f>
        <v/>
      </c>
      <c r="I366" s="25" t="str">
        <f aca="false">IF(OR(F366="",H366&lt;&gt;"Car or van"),"",SUMIFS($F$6:F366,$H$6:H366,"Car or van"))</f>
        <v/>
      </c>
      <c r="J366" s="24" t="str">
        <f aca="false">IF(F366="","",IF(H366="Car or van",IF(O366=0,TEXT(INDEX('Notes and sources'!$C$6:$D$6,1,'Start here'!$C$11)*100,"0")&amp;"p",IF(N366=0,TEXT(INDEX('Notes and sources'!$C$7:$D$7,1,'Start here'!$C$11)*100,"0")&amp;"p",TEXT(INDEX('Notes and sources'!$C$6:$D$6,1,'Start here'!$C$11)*100,"0")&amp;"p/"&amp;TEXT(INDEX('Notes and sources'!$C$7:$D$7,1,'Start here'!$C$11)*100,"0")&amp;"p")),IF(H366="Motorcycle",TEXT(INDEX('Notes and sources'!$C$8:$D$8,1,'Start here'!$C$11)*100,"0")&amp;"p",IF(H366="Bicycle",TEXT(INDEX('Notes and sources'!$C$9:$D$9,1,'Start here'!$C$11)*100,"0")&amp;"p",""))))</f>
        <v/>
      </c>
      <c r="K366" s="26" t="str">
        <f aca="false">IF(F366="","",ROUND(IF(H366="Car or van",N366*INDEX('Notes and sources'!$C$6:$D$6,1,'Start here'!$C$11)+O366*INDEX('Notes and sources'!$C$7:$D$7,1,'Start here'!$C$11)+N(G366)*N(F366)*INDEX('Notes and sources'!$C$10:$D$10,1,'Start here'!$C$11),IF(H366="Motorcycle",N(F366)*INDEX('Notes and sources'!$C$8:$D$8,1,'Start here'!$C$11),IF(H366="Bicycle",N(F366)*INDEX('Notes and sources'!$C$9:$D$9,1,'Start here'!$C$11),0))),2))</f>
        <v/>
      </c>
      <c r="L366" s="27"/>
      <c r="N366" s="2" t="n">
        <f aca="false">IF(I366="",0,MAX(0,MIN(N(F366),INDEX('Notes and sources'!$C$12:$D$12,1,'Start here'!$C$11)-(I366-N(F366)))))</f>
        <v>0</v>
      </c>
      <c r="O366" s="2" t="n">
        <f aca="false">IF(I366="",0,N(F366)-N366)</f>
        <v>0</v>
      </c>
      <c r="P366" s="2" t="str">
        <f aca="false">IF(A366="","",IF(AND(MONTH(A366)=4,DAY(A366)&lt;6),13,MOD(MONTH(A366)-4,12)+1))</f>
        <v/>
      </c>
    </row>
    <row r="367" customFormat="false" ht="15" hidden="false" customHeight="false" outlineLevel="0" collapsed="false">
      <c r="A367" s="21"/>
      <c r="B367" s="6"/>
      <c r="C367" s="6"/>
      <c r="D367" s="6"/>
      <c r="E367" s="6"/>
      <c r="F367" s="22"/>
      <c r="G367" s="23"/>
      <c r="H367" s="24" t="str">
        <f aca="false">IF(B367="","",IFERROR(INDEX('Start here'!$C$16:$C$20,MATCH(B367,'Start here'!$B$16:$B$20,0)),"Check vehicle"))</f>
        <v/>
      </c>
      <c r="I367" s="25" t="str">
        <f aca="false">IF(OR(F367="",H367&lt;&gt;"Car or van"),"",SUMIFS($F$6:F367,$H$6:H367,"Car or van"))</f>
        <v/>
      </c>
      <c r="J367" s="24" t="str">
        <f aca="false">IF(F367="","",IF(H367="Car or van",IF(O367=0,TEXT(INDEX('Notes and sources'!$C$6:$D$6,1,'Start here'!$C$11)*100,"0")&amp;"p",IF(N367=0,TEXT(INDEX('Notes and sources'!$C$7:$D$7,1,'Start here'!$C$11)*100,"0")&amp;"p",TEXT(INDEX('Notes and sources'!$C$6:$D$6,1,'Start here'!$C$11)*100,"0")&amp;"p/"&amp;TEXT(INDEX('Notes and sources'!$C$7:$D$7,1,'Start here'!$C$11)*100,"0")&amp;"p")),IF(H367="Motorcycle",TEXT(INDEX('Notes and sources'!$C$8:$D$8,1,'Start here'!$C$11)*100,"0")&amp;"p",IF(H367="Bicycle",TEXT(INDEX('Notes and sources'!$C$9:$D$9,1,'Start here'!$C$11)*100,"0")&amp;"p",""))))</f>
        <v/>
      </c>
      <c r="K367" s="26" t="str">
        <f aca="false">IF(F367="","",ROUND(IF(H367="Car or van",N367*INDEX('Notes and sources'!$C$6:$D$6,1,'Start here'!$C$11)+O367*INDEX('Notes and sources'!$C$7:$D$7,1,'Start here'!$C$11)+N(G367)*N(F367)*INDEX('Notes and sources'!$C$10:$D$10,1,'Start here'!$C$11),IF(H367="Motorcycle",N(F367)*INDEX('Notes and sources'!$C$8:$D$8,1,'Start here'!$C$11),IF(H367="Bicycle",N(F367)*INDEX('Notes and sources'!$C$9:$D$9,1,'Start here'!$C$11),0))),2))</f>
        <v/>
      </c>
      <c r="L367" s="27"/>
      <c r="N367" s="2" t="n">
        <f aca="false">IF(I367="",0,MAX(0,MIN(N(F367),INDEX('Notes and sources'!$C$12:$D$12,1,'Start here'!$C$11)-(I367-N(F367)))))</f>
        <v>0</v>
      </c>
      <c r="O367" s="2" t="n">
        <f aca="false">IF(I367="",0,N(F367)-N367)</f>
        <v>0</v>
      </c>
      <c r="P367" s="2" t="str">
        <f aca="false">IF(A367="","",IF(AND(MONTH(A367)=4,DAY(A367)&lt;6),13,MOD(MONTH(A367)-4,12)+1))</f>
        <v/>
      </c>
    </row>
    <row r="368" customFormat="false" ht="15" hidden="false" customHeight="false" outlineLevel="0" collapsed="false">
      <c r="A368" s="21"/>
      <c r="B368" s="6"/>
      <c r="C368" s="6"/>
      <c r="D368" s="6"/>
      <c r="E368" s="6"/>
      <c r="F368" s="22"/>
      <c r="G368" s="23"/>
      <c r="H368" s="24" t="str">
        <f aca="false">IF(B368="","",IFERROR(INDEX('Start here'!$C$16:$C$20,MATCH(B368,'Start here'!$B$16:$B$20,0)),"Check vehicle"))</f>
        <v/>
      </c>
      <c r="I368" s="25" t="str">
        <f aca="false">IF(OR(F368="",H368&lt;&gt;"Car or van"),"",SUMIFS($F$6:F368,$H$6:H368,"Car or van"))</f>
        <v/>
      </c>
      <c r="J368" s="24" t="str">
        <f aca="false">IF(F368="","",IF(H368="Car or van",IF(O368=0,TEXT(INDEX('Notes and sources'!$C$6:$D$6,1,'Start here'!$C$11)*100,"0")&amp;"p",IF(N368=0,TEXT(INDEX('Notes and sources'!$C$7:$D$7,1,'Start here'!$C$11)*100,"0")&amp;"p",TEXT(INDEX('Notes and sources'!$C$6:$D$6,1,'Start here'!$C$11)*100,"0")&amp;"p/"&amp;TEXT(INDEX('Notes and sources'!$C$7:$D$7,1,'Start here'!$C$11)*100,"0")&amp;"p")),IF(H368="Motorcycle",TEXT(INDEX('Notes and sources'!$C$8:$D$8,1,'Start here'!$C$11)*100,"0")&amp;"p",IF(H368="Bicycle",TEXT(INDEX('Notes and sources'!$C$9:$D$9,1,'Start here'!$C$11)*100,"0")&amp;"p",""))))</f>
        <v/>
      </c>
      <c r="K368" s="26" t="str">
        <f aca="false">IF(F368="","",ROUND(IF(H368="Car or van",N368*INDEX('Notes and sources'!$C$6:$D$6,1,'Start here'!$C$11)+O368*INDEX('Notes and sources'!$C$7:$D$7,1,'Start here'!$C$11)+N(G368)*N(F368)*INDEX('Notes and sources'!$C$10:$D$10,1,'Start here'!$C$11),IF(H368="Motorcycle",N(F368)*INDEX('Notes and sources'!$C$8:$D$8,1,'Start here'!$C$11),IF(H368="Bicycle",N(F368)*INDEX('Notes and sources'!$C$9:$D$9,1,'Start here'!$C$11),0))),2))</f>
        <v/>
      </c>
      <c r="L368" s="27"/>
      <c r="N368" s="2" t="n">
        <f aca="false">IF(I368="",0,MAX(0,MIN(N(F368),INDEX('Notes and sources'!$C$12:$D$12,1,'Start here'!$C$11)-(I368-N(F368)))))</f>
        <v>0</v>
      </c>
      <c r="O368" s="2" t="n">
        <f aca="false">IF(I368="",0,N(F368)-N368)</f>
        <v>0</v>
      </c>
      <c r="P368" s="2" t="str">
        <f aca="false">IF(A368="","",IF(AND(MONTH(A368)=4,DAY(A368)&lt;6),13,MOD(MONTH(A368)-4,12)+1))</f>
        <v/>
      </c>
    </row>
    <row r="369" customFormat="false" ht="15" hidden="false" customHeight="false" outlineLevel="0" collapsed="false">
      <c r="A369" s="21"/>
      <c r="B369" s="6"/>
      <c r="C369" s="6"/>
      <c r="D369" s="6"/>
      <c r="E369" s="6"/>
      <c r="F369" s="22"/>
      <c r="G369" s="23"/>
      <c r="H369" s="24" t="str">
        <f aca="false">IF(B369="","",IFERROR(INDEX('Start here'!$C$16:$C$20,MATCH(B369,'Start here'!$B$16:$B$20,0)),"Check vehicle"))</f>
        <v/>
      </c>
      <c r="I369" s="25" t="str">
        <f aca="false">IF(OR(F369="",H369&lt;&gt;"Car or van"),"",SUMIFS($F$6:F369,$H$6:H369,"Car or van"))</f>
        <v/>
      </c>
      <c r="J369" s="24" t="str">
        <f aca="false">IF(F369="","",IF(H369="Car or van",IF(O369=0,TEXT(INDEX('Notes and sources'!$C$6:$D$6,1,'Start here'!$C$11)*100,"0")&amp;"p",IF(N369=0,TEXT(INDEX('Notes and sources'!$C$7:$D$7,1,'Start here'!$C$11)*100,"0")&amp;"p",TEXT(INDEX('Notes and sources'!$C$6:$D$6,1,'Start here'!$C$11)*100,"0")&amp;"p/"&amp;TEXT(INDEX('Notes and sources'!$C$7:$D$7,1,'Start here'!$C$11)*100,"0")&amp;"p")),IF(H369="Motorcycle",TEXT(INDEX('Notes and sources'!$C$8:$D$8,1,'Start here'!$C$11)*100,"0")&amp;"p",IF(H369="Bicycle",TEXT(INDEX('Notes and sources'!$C$9:$D$9,1,'Start here'!$C$11)*100,"0")&amp;"p",""))))</f>
        <v/>
      </c>
      <c r="K369" s="26" t="str">
        <f aca="false">IF(F369="","",ROUND(IF(H369="Car or van",N369*INDEX('Notes and sources'!$C$6:$D$6,1,'Start here'!$C$11)+O369*INDEX('Notes and sources'!$C$7:$D$7,1,'Start here'!$C$11)+N(G369)*N(F369)*INDEX('Notes and sources'!$C$10:$D$10,1,'Start here'!$C$11),IF(H369="Motorcycle",N(F369)*INDEX('Notes and sources'!$C$8:$D$8,1,'Start here'!$C$11),IF(H369="Bicycle",N(F369)*INDEX('Notes and sources'!$C$9:$D$9,1,'Start here'!$C$11),0))),2))</f>
        <v/>
      </c>
      <c r="L369" s="27"/>
      <c r="N369" s="2" t="n">
        <f aca="false">IF(I369="",0,MAX(0,MIN(N(F369),INDEX('Notes and sources'!$C$12:$D$12,1,'Start here'!$C$11)-(I369-N(F369)))))</f>
        <v>0</v>
      </c>
      <c r="O369" s="2" t="n">
        <f aca="false">IF(I369="",0,N(F369)-N369)</f>
        <v>0</v>
      </c>
      <c r="P369" s="2" t="str">
        <f aca="false">IF(A369="","",IF(AND(MONTH(A369)=4,DAY(A369)&lt;6),13,MOD(MONTH(A369)-4,12)+1))</f>
        <v/>
      </c>
    </row>
    <row r="370" customFormat="false" ht="15" hidden="false" customHeight="false" outlineLevel="0" collapsed="false">
      <c r="A370" s="21"/>
      <c r="B370" s="6"/>
      <c r="C370" s="6"/>
      <c r="D370" s="6"/>
      <c r="E370" s="6"/>
      <c r="F370" s="22"/>
      <c r="G370" s="23"/>
      <c r="H370" s="24" t="str">
        <f aca="false">IF(B370="","",IFERROR(INDEX('Start here'!$C$16:$C$20,MATCH(B370,'Start here'!$B$16:$B$20,0)),"Check vehicle"))</f>
        <v/>
      </c>
      <c r="I370" s="25" t="str">
        <f aca="false">IF(OR(F370="",H370&lt;&gt;"Car or van"),"",SUMIFS($F$6:F370,$H$6:H370,"Car or van"))</f>
        <v/>
      </c>
      <c r="J370" s="24" t="str">
        <f aca="false">IF(F370="","",IF(H370="Car or van",IF(O370=0,TEXT(INDEX('Notes and sources'!$C$6:$D$6,1,'Start here'!$C$11)*100,"0")&amp;"p",IF(N370=0,TEXT(INDEX('Notes and sources'!$C$7:$D$7,1,'Start here'!$C$11)*100,"0")&amp;"p",TEXT(INDEX('Notes and sources'!$C$6:$D$6,1,'Start here'!$C$11)*100,"0")&amp;"p/"&amp;TEXT(INDEX('Notes and sources'!$C$7:$D$7,1,'Start here'!$C$11)*100,"0")&amp;"p")),IF(H370="Motorcycle",TEXT(INDEX('Notes and sources'!$C$8:$D$8,1,'Start here'!$C$11)*100,"0")&amp;"p",IF(H370="Bicycle",TEXT(INDEX('Notes and sources'!$C$9:$D$9,1,'Start here'!$C$11)*100,"0")&amp;"p",""))))</f>
        <v/>
      </c>
      <c r="K370" s="26" t="str">
        <f aca="false">IF(F370="","",ROUND(IF(H370="Car or van",N370*INDEX('Notes and sources'!$C$6:$D$6,1,'Start here'!$C$11)+O370*INDEX('Notes and sources'!$C$7:$D$7,1,'Start here'!$C$11)+N(G370)*N(F370)*INDEX('Notes and sources'!$C$10:$D$10,1,'Start here'!$C$11),IF(H370="Motorcycle",N(F370)*INDEX('Notes and sources'!$C$8:$D$8,1,'Start here'!$C$11),IF(H370="Bicycle",N(F370)*INDEX('Notes and sources'!$C$9:$D$9,1,'Start here'!$C$11),0))),2))</f>
        <v/>
      </c>
      <c r="L370" s="27"/>
      <c r="N370" s="2" t="n">
        <f aca="false">IF(I370="",0,MAX(0,MIN(N(F370),INDEX('Notes and sources'!$C$12:$D$12,1,'Start here'!$C$11)-(I370-N(F370)))))</f>
        <v>0</v>
      </c>
      <c r="O370" s="2" t="n">
        <f aca="false">IF(I370="",0,N(F370)-N370)</f>
        <v>0</v>
      </c>
      <c r="P370" s="2" t="str">
        <f aca="false">IF(A370="","",IF(AND(MONTH(A370)=4,DAY(A370)&lt;6),13,MOD(MONTH(A370)-4,12)+1))</f>
        <v/>
      </c>
    </row>
    <row r="371" customFormat="false" ht="15" hidden="false" customHeight="false" outlineLevel="0" collapsed="false">
      <c r="A371" s="21"/>
      <c r="B371" s="6"/>
      <c r="C371" s="6"/>
      <c r="D371" s="6"/>
      <c r="E371" s="6"/>
      <c r="F371" s="22"/>
      <c r="G371" s="23"/>
      <c r="H371" s="24" t="str">
        <f aca="false">IF(B371="","",IFERROR(INDEX('Start here'!$C$16:$C$20,MATCH(B371,'Start here'!$B$16:$B$20,0)),"Check vehicle"))</f>
        <v/>
      </c>
      <c r="I371" s="25" t="str">
        <f aca="false">IF(OR(F371="",H371&lt;&gt;"Car or van"),"",SUMIFS($F$6:F371,$H$6:H371,"Car or van"))</f>
        <v/>
      </c>
      <c r="J371" s="24" t="str">
        <f aca="false">IF(F371="","",IF(H371="Car or van",IF(O371=0,TEXT(INDEX('Notes and sources'!$C$6:$D$6,1,'Start here'!$C$11)*100,"0")&amp;"p",IF(N371=0,TEXT(INDEX('Notes and sources'!$C$7:$D$7,1,'Start here'!$C$11)*100,"0")&amp;"p",TEXT(INDEX('Notes and sources'!$C$6:$D$6,1,'Start here'!$C$11)*100,"0")&amp;"p/"&amp;TEXT(INDEX('Notes and sources'!$C$7:$D$7,1,'Start here'!$C$11)*100,"0")&amp;"p")),IF(H371="Motorcycle",TEXT(INDEX('Notes and sources'!$C$8:$D$8,1,'Start here'!$C$11)*100,"0")&amp;"p",IF(H371="Bicycle",TEXT(INDEX('Notes and sources'!$C$9:$D$9,1,'Start here'!$C$11)*100,"0")&amp;"p",""))))</f>
        <v/>
      </c>
      <c r="K371" s="26" t="str">
        <f aca="false">IF(F371="","",ROUND(IF(H371="Car or van",N371*INDEX('Notes and sources'!$C$6:$D$6,1,'Start here'!$C$11)+O371*INDEX('Notes and sources'!$C$7:$D$7,1,'Start here'!$C$11)+N(G371)*N(F371)*INDEX('Notes and sources'!$C$10:$D$10,1,'Start here'!$C$11),IF(H371="Motorcycle",N(F371)*INDEX('Notes and sources'!$C$8:$D$8,1,'Start here'!$C$11),IF(H371="Bicycle",N(F371)*INDEX('Notes and sources'!$C$9:$D$9,1,'Start here'!$C$11),0))),2))</f>
        <v/>
      </c>
      <c r="L371" s="27"/>
      <c r="N371" s="2" t="n">
        <f aca="false">IF(I371="",0,MAX(0,MIN(N(F371),INDEX('Notes and sources'!$C$12:$D$12,1,'Start here'!$C$11)-(I371-N(F371)))))</f>
        <v>0</v>
      </c>
      <c r="O371" s="2" t="n">
        <f aca="false">IF(I371="",0,N(F371)-N371)</f>
        <v>0</v>
      </c>
      <c r="P371" s="2" t="str">
        <f aca="false">IF(A371="","",IF(AND(MONTH(A371)=4,DAY(A371)&lt;6),13,MOD(MONTH(A371)-4,12)+1))</f>
        <v/>
      </c>
    </row>
    <row r="372" customFormat="false" ht="15" hidden="false" customHeight="false" outlineLevel="0" collapsed="false">
      <c r="A372" s="21"/>
      <c r="B372" s="6"/>
      <c r="C372" s="6"/>
      <c r="D372" s="6"/>
      <c r="E372" s="6"/>
      <c r="F372" s="22"/>
      <c r="G372" s="23"/>
      <c r="H372" s="24" t="str">
        <f aca="false">IF(B372="","",IFERROR(INDEX('Start here'!$C$16:$C$20,MATCH(B372,'Start here'!$B$16:$B$20,0)),"Check vehicle"))</f>
        <v/>
      </c>
      <c r="I372" s="25" t="str">
        <f aca="false">IF(OR(F372="",H372&lt;&gt;"Car or van"),"",SUMIFS($F$6:F372,$H$6:H372,"Car or van"))</f>
        <v/>
      </c>
      <c r="J372" s="24" t="str">
        <f aca="false">IF(F372="","",IF(H372="Car or van",IF(O372=0,TEXT(INDEX('Notes and sources'!$C$6:$D$6,1,'Start here'!$C$11)*100,"0")&amp;"p",IF(N372=0,TEXT(INDEX('Notes and sources'!$C$7:$D$7,1,'Start here'!$C$11)*100,"0")&amp;"p",TEXT(INDEX('Notes and sources'!$C$6:$D$6,1,'Start here'!$C$11)*100,"0")&amp;"p/"&amp;TEXT(INDEX('Notes and sources'!$C$7:$D$7,1,'Start here'!$C$11)*100,"0")&amp;"p")),IF(H372="Motorcycle",TEXT(INDEX('Notes and sources'!$C$8:$D$8,1,'Start here'!$C$11)*100,"0")&amp;"p",IF(H372="Bicycle",TEXT(INDEX('Notes and sources'!$C$9:$D$9,1,'Start here'!$C$11)*100,"0")&amp;"p",""))))</f>
        <v/>
      </c>
      <c r="K372" s="26" t="str">
        <f aca="false">IF(F372="","",ROUND(IF(H372="Car or van",N372*INDEX('Notes and sources'!$C$6:$D$6,1,'Start here'!$C$11)+O372*INDEX('Notes and sources'!$C$7:$D$7,1,'Start here'!$C$11)+N(G372)*N(F372)*INDEX('Notes and sources'!$C$10:$D$10,1,'Start here'!$C$11),IF(H372="Motorcycle",N(F372)*INDEX('Notes and sources'!$C$8:$D$8,1,'Start here'!$C$11),IF(H372="Bicycle",N(F372)*INDEX('Notes and sources'!$C$9:$D$9,1,'Start here'!$C$11),0))),2))</f>
        <v/>
      </c>
      <c r="L372" s="27"/>
      <c r="N372" s="2" t="n">
        <f aca="false">IF(I372="",0,MAX(0,MIN(N(F372),INDEX('Notes and sources'!$C$12:$D$12,1,'Start here'!$C$11)-(I372-N(F372)))))</f>
        <v>0</v>
      </c>
      <c r="O372" s="2" t="n">
        <f aca="false">IF(I372="",0,N(F372)-N372)</f>
        <v>0</v>
      </c>
      <c r="P372" s="2" t="str">
        <f aca="false">IF(A372="","",IF(AND(MONTH(A372)=4,DAY(A372)&lt;6),13,MOD(MONTH(A372)-4,12)+1))</f>
        <v/>
      </c>
    </row>
    <row r="373" customFormat="false" ht="15" hidden="false" customHeight="false" outlineLevel="0" collapsed="false">
      <c r="A373" s="21"/>
      <c r="B373" s="6"/>
      <c r="C373" s="6"/>
      <c r="D373" s="6"/>
      <c r="E373" s="6"/>
      <c r="F373" s="22"/>
      <c r="G373" s="23"/>
      <c r="H373" s="24" t="str">
        <f aca="false">IF(B373="","",IFERROR(INDEX('Start here'!$C$16:$C$20,MATCH(B373,'Start here'!$B$16:$B$20,0)),"Check vehicle"))</f>
        <v/>
      </c>
      <c r="I373" s="25" t="str">
        <f aca="false">IF(OR(F373="",H373&lt;&gt;"Car or van"),"",SUMIFS($F$6:F373,$H$6:H373,"Car or van"))</f>
        <v/>
      </c>
      <c r="J373" s="24" t="str">
        <f aca="false">IF(F373="","",IF(H373="Car or van",IF(O373=0,TEXT(INDEX('Notes and sources'!$C$6:$D$6,1,'Start here'!$C$11)*100,"0")&amp;"p",IF(N373=0,TEXT(INDEX('Notes and sources'!$C$7:$D$7,1,'Start here'!$C$11)*100,"0")&amp;"p",TEXT(INDEX('Notes and sources'!$C$6:$D$6,1,'Start here'!$C$11)*100,"0")&amp;"p/"&amp;TEXT(INDEX('Notes and sources'!$C$7:$D$7,1,'Start here'!$C$11)*100,"0")&amp;"p")),IF(H373="Motorcycle",TEXT(INDEX('Notes and sources'!$C$8:$D$8,1,'Start here'!$C$11)*100,"0")&amp;"p",IF(H373="Bicycle",TEXT(INDEX('Notes and sources'!$C$9:$D$9,1,'Start here'!$C$11)*100,"0")&amp;"p",""))))</f>
        <v/>
      </c>
      <c r="K373" s="26" t="str">
        <f aca="false">IF(F373="","",ROUND(IF(H373="Car or van",N373*INDEX('Notes and sources'!$C$6:$D$6,1,'Start here'!$C$11)+O373*INDEX('Notes and sources'!$C$7:$D$7,1,'Start here'!$C$11)+N(G373)*N(F373)*INDEX('Notes and sources'!$C$10:$D$10,1,'Start here'!$C$11),IF(H373="Motorcycle",N(F373)*INDEX('Notes and sources'!$C$8:$D$8,1,'Start here'!$C$11),IF(H373="Bicycle",N(F373)*INDEX('Notes and sources'!$C$9:$D$9,1,'Start here'!$C$11),0))),2))</f>
        <v/>
      </c>
      <c r="L373" s="27"/>
      <c r="N373" s="2" t="n">
        <f aca="false">IF(I373="",0,MAX(0,MIN(N(F373),INDEX('Notes and sources'!$C$12:$D$12,1,'Start here'!$C$11)-(I373-N(F373)))))</f>
        <v>0</v>
      </c>
      <c r="O373" s="2" t="n">
        <f aca="false">IF(I373="",0,N(F373)-N373)</f>
        <v>0</v>
      </c>
      <c r="P373" s="2" t="str">
        <f aca="false">IF(A373="","",IF(AND(MONTH(A373)=4,DAY(A373)&lt;6),13,MOD(MONTH(A373)-4,12)+1))</f>
        <v/>
      </c>
    </row>
    <row r="374" customFormat="false" ht="15" hidden="false" customHeight="false" outlineLevel="0" collapsed="false">
      <c r="A374" s="21"/>
      <c r="B374" s="6"/>
      <c r="C374" s="6"/>
      <c r="D374" s="6"/>
      <c r="E374" s="6"/>
      <c r="F374" s="22"/>
      <c r="G374" s="23"/>
      <c r="H374" s="24" t="str">
        <f aca="false">IF(B374="","",IFERROR(INDEX('Start here'!$C$16:$C$20,MATCH(B374,'Start here'!$B$16:$B$20,0)),"Check vehicle"))</f>
        <v/>
      </c>
      <c r="I374" s="25" t="str">
        <f aca="false">IF(OR(F374="",H374&lt;&gt;"Car or van"),"",SUMIFS($F$6:F374,$H$6:H374,"Car or van"))</f>
        <v/>
      </c>
      <c r="J374" s="24" t="str">
        <f aca="false">IF(F374="","",IF(H374="Car or van",IF(O374=0,TEXT(INDEX('Notes and sources'!$C$6:$D$6,1,'Start here'!$C$11)*100,"0")&amp;"p",IF(N374=0,TEXT(INDEX('Notes and sources'!$C$7:$D$7,1,'Start here'!$C$11)*100,"0")&amp;"p",TEXT(INDEX('Notes and sources'!$C$6:$D$6,1,'Start here'!$C$11)*100,"0")&amp;"p/"&amp;TEXT(INDEX('Notes and sources'!$C$7:$D$7,1,'Start here'!$C$11)*100,"0")&amp;"p")),IF(H374="Motorcycle",TEXT(INDEX('Notes and sources'!$C$8:$D$8,1,'Start here'!$C$11)*100,"0")&amp;"p",IF(H374="Bicycle",TEXT(INDEX('Notes and sources'!$C$9:$D$9,1,'Start here'!$C$11)*100,"0")&amp;"p",""))))</f>
        <v/>
      </c>
      <c r="K374" s="26" t="str">
        <f aca="false">IF(F374="","",ROUND(IF(H374="Car or van",N374*INDEX('Notes and sources'!$C$6:$D$6,1,'Start here'!$C$11)+O374*INDEX('Notes and sources'!$C$7:$D$7,1,'Start here'!$C$11)+N(G374)*N(F374)*INDEX('Notes and sources'!$C$10:$D$10,1,'Start here'!$C$11),IF(H374="Motorcycle",N(F374)*INDEX('Notes and sources'!$C$8:$D$8,1,'Start here'!$C$11),IF(H374="Bicycle",N(F374)*INDEX('Notes and sources'!$C$9:$D$9,1,'Start here'!$C$11),0))),2))</f>
        <v/>
      </c>
      <c r="L374" s="27"/>
      <c r="N374" s="2" t="n">
        <f aca="false">IF(I374="",0,MAX(0,MIN(N(F374),INDEX('Notes and sources'!$C$12:$D$12,1,'Start here'!$C$11)-(I374-N(F374)))))</f>
        <v>0</v>
      </c>
      <c r="O374" s="2" t="n">
        <f aca="false">IF(I374="",0,N(F374)-N374)</f>
        <v>0</v>
      </c>
      <c r="P374" s="2" t="str">
        <f aca="false">IF(A374="","",IF(AND(MONTH(A374)=4,DAY(A374)&lt;6),13,MOD(MONTH(A374)-4,12)+1))</f>
        <v/>
      </c>
    </row>
    <row r="375" customFormat="false" ht="15" hidden="false" customHeight="false" outlineLevel="0" collapsed="false">
      <c r="A375" s="21"/>
      <c r="B375" s="6"/>
      <c r="C375" s="6"/>
      <c r="D375" s="6"/>
      <c r="E375" s="6"/>
      <c r="F375" s="22"/>
      <c r="G375" s="23"/>
      <c r="H375" s="24" t="str">
        <f aca="false">IF(B375="","",IFERROR(INDEX('Start here'!$C$16:$C$20,MATCH(B375,'Start here'!$B$16:$B$20,0)),"Check vehicle"))</f>
        <v/>
      </c>
      <c r="I375" s="25" t="str">
        <f aca="false">IF(OR(F375="",H375&lt;&gt;"Car or van"),"",SUMIFS($F$6:F375,$H$6:H375,"Car or van"))</f>
        <v/>
      </c>
      <c r="J375" s="24" t="str">
        <f aca="false">IF(F375="","",IF(H375="Car or van",IF(O375=0,TEXT(INDEX('Notes and sources'!$C$6:$D$6,1,'Start here'!$C$11)*100,"0")&amp;"p",IF(N375=0,TEXT(INDEX('Notes and sources'!$C$7:$D$7,1,'Start here'!$C$11)*100,"0")&amp;"p",TEXT(INDEX('Notes and sources'!$C$6:$D$6,1,'Start here'!$C$11)*100,"0")&amp;"p/"&amp;TEXT(INDEX('Notes and sources'!$C$7:$D$7,1,'Start here'!$C$11)*100,"0")&amp;"p")),IF(H375="Motorcycle",TEXT(INDEX('Notes and sources'!$C$8:$D$8,1,'Start here'!$C$11)*100,"0")&amp;"p",IF(H375="Bicycle",TEXT(INDEX('Notes and sources'!$C$9:$D$9,1,'Start here'!$C$11)*100,"0")&amp;"p",""))))</f>
        <v/>
      </c>
      <c r="K375" s="26" t="str">
        <f aca="false">IF(F375="","",ROUND(IF(H375="Car or van",N375*INDEX('Notes and sources'!$C$6:$D$6,1,'Start here'!$C$11)+O375*INDEX('Notes and sources'!$C$7:$D$7,1,'Start here'!$C$11)+N(G375)*N(F375)*INDEX('Notes and sources'!$C$10:$D$10,1,'Start here'!$C$11),IF(H375="Motorcycle",N(F375)*INDEX('Notes and sources'!$C$8:$D$8,1,'Start here'!$C$11),IF(H375="Bicycle",N(F375)*INDEX('Notes and sources'!$C$9:$D$9,1,'Start here'!$C$11),0))),2))</f>
        <v/>
      </c>
      <c r="L375" s="27"/>
      <c r="N375" s="2" t="n">
        <f aca="false">IF(I375="",0,MAX(0,MIN(N(F375),INDEX('Notes and sources'!$C$12:$D$12,1,'Start here'!$C$11)-(I375-N(F375)))))</f>
        <v>0</v>
      </c>
      <c r="O375" s="2" t="n">
        <f aca="false">IF(I375="",0,N(F375)-N375)</f>
        <v>0</v>
      </c>
      <c r="P375" s="2" t="str">
        <f aca="false">IF(A375="","",IF(AND(MONTH(A375)=4,DAY(A375)&lt;6),13,MOD(MONTH(A375)-4,12)+1))</f>
        <v/>
      </c>
    </row>
    <row r="376" customFormat="false" ht="15" hidden="false" customHeight="false" outlineLevel="0" collapsed="false">
      <c r="A376" s="21"/>
      <c r="B376" s="6"/>
      <c r="C376" s="6"/>
      <c r="D376" s="6"/>
      <c r="E376" s="6"/>
      <c r="F376" s="22"/>
      <c r="G376" s="23"/>
      <c r="H376" s="24" t="str">
        <f aca="false">IF(B376="","",IFERROR(INDEX('Start here'!$C$16:$C$20,MATCH(B376,'Start here'!$B$16:$B$20,0)),"Check vehicle"))</f>
        <v/>
      </c>
      <c r="I376" s="25" t="str">
        <f aca="false">IF(OR(F376="",H376&lt;&gt;"Car or van"),"",SUMIFS($F$6:F376,$H$6:H376,"Car or van"))</f>
        <v/>
      </c>
      <c r="J376" s="24" t="str">
        <f aca="false">IF(F376="","",IF(H376="Car or van",IF(O376=0,TEXT(INDEX('Notes and sources'!$C$6:$D$6,1,'Start here'!$C$11)*100,"0")&amp;"p",IF(N376=0,TEXT(INDEX('Notes and sources'!$C$7:$D$7,1,'Start here'!$C$11)*100,"0")&amp;"p",TEXT(INDEX('Notes and sources'!$C$6:$D$6,1,'Start here'!$C$11)*100,"0")&amp;"p/"&amp;TEXT(INDEX('Notes and sources'!$C$7:$D$7,1,'Start here'!$C$11)*100,"0")&amp;"p")),IF(H376="Motorcycle",TEXT(INDEX('Notes and sources'!$C$8:$D$8,1,'Start here'!$C$11)*100,"0")&amp;"p",IF(H376="Bicycle",TEXT(INDEX('Notes and sources'!$C$9:$D$9,1,'Start here'!$C$11)*100,"0")&amp;"p",""))))</f>
        <v/>
      </c>
      <c r="K376" s="26" t="str">
        <f aca="false">IF(F376="","",ROUND(IF(H376="Car or van",N376*INDEX('Notes and sources'!$C$6:$D$6,1,'Start here'!$C$11)+O376*INDEX('Notes and sources'!$C$7:$D$7,1,'Start here'!$C$11)+N(G376)*N(F376)*INDEX('Notes and sources'!$C$10:$D$10,1,'Start here'!$C$11),IF(H376="Motorcycle",N(F376)*INDEX('Notes and sources'!$C$8:$D$8,1,'Start here'!$C$11),IF(H376="Bicycle",N(F376)*INDEX('Notes and sources'!$C$9:$D$9,1,'Start here'!$C$11),0))),2))</f>
        <v/>
      </c>
      <c r="L376" s="27"/>
      <c r="N376" s="2" t="n">
        <f aca="false">IF(I376="",0,MAX(0,MIN(N(F376),INDEX('Notes and sources'!$C$12:$D$12,1,'Start here'!$C$11)-(I376-N(F376)))))</f>
        <v>0</v>
      </c>
      <c r="O376" s="2" t="n">
        <f aca="false">IF(I376="",0,N(F376)-N376)</f>
        <v>0</v>
      </c>
      <c r="P376" s="2" t="str">
        <f aca="false">IF(A376="","",IF(AND(MONTH(A376)=4,DAY(A376)&lt;6),13,MOD(MONTH(A376)-4,12)+1))</f>
        <v/>
      </c>
    </row>
    <row r="377" customFormat="false" ht="15" hidden="false" customHeight="false" outlineLevel="0" collapsed="false">
      <c r="A377" s="21"/>
      <c r="B377" s="6"/>
      <c r="C377" s="6"/>
      <c r="D377" s="6"/>
      <c r="E377" s="6"/>
      <c r="F377" s="22"/>
      <c r="G377" s="23"/>
      <c r="H377" s="24" t="str">
        <f aca="false">IF(B377="","",IFERROR(INDEX('Start here'!$C$16:$C$20,MATCH(B377,'Start here'!$B$16:$B$20,0)),"Check vehicle"))</f>
        <v/>
      </c>
      <c r="I377" s="25" t="str">
        <f aca="false">IF(OR(F377="",H377&lt;&gt;"Car or van"),"",SUMIFS($F$6:F377,$H$6:H377,"Car or van"))</f>
        <v/>
      </c>
      <c r="J377" s="24" t="str">
        <f aca="false">IF(F377="","",IF(H377="Car or van",IF(O377=0,TEXT(INDEX('Notes and sources'!$C$6:$D$6,1,'Start here'!$C$11)*100,"0")&amp;"p",IF(N377=0,TEXT(INDEX('Notes and sources'!$C$7:$D$7,1,'Start here'!$C$11)*100,"0")&amp;"p",TEXT(INDEX('Notes and sources'!$C$6:$D$6,1,'Start here'!$C$11)*100,"0")&amp;"p/"&amp;TEXT(INDEX('Notes and sources'!$C$7:$D$7,1,'Start here'!$C$11)*100,"0")&amp;"p")),IF(H377="Motorcycle",TEXT(INDEX('Notes and sources'!$C$8:$D$8,1,'Start here'!$C$11)*100,"0")&amp;"p",IF(H377="Bicycle",TEXT(INDEX('Notes and sources'!$C$9:$D$9,1,'Start here'!$C$11)*100,"0")&amp;"p",""))))</f>
        <v/>
      </c>
      <c r="K377" s="26" t="str">
        <f aca="false">IF(F377="","",ROUND(IF(H377="Car or van",N377*INDEX('Notes and sources'!$C$6:$D$6,1,'Start here'!$C$11)+O377*INDEX('Notes and sources'!$C$7:$D$7,1,'Start here'!$C$11)+N(G377)*N(F377)*INDEX('Notes and sources'!$C$10:$D$10,1,'Start here'!$C$11),IF(H377="Motorcycle",N(F377)*INDEX('Notes and sources'!$C$8:$D$8,1,'Start here'!$C$11),IF(H377="Bicycle",N(F377)*INDEX('Notes and sources'!$C$9:$D$9,1,'Start here'!$C$11),0))),2))</f>
        <v/>
      </c>
      <c r="L377" s="27"/>
      <c r="N377" s="2" t="n">
        <f aca="false">IF(I377="",0,MAX(0,MIN(N(F377),INDEX('Notes and sources'!$C$12:$D$12,1,'Start here'!$C$11)-(I377-N(F377)))))</f>
        <v>0</v>
      </c>
      <c r="O377" s="2" t="n">
        <f aca="false">IF(I377="",0,N(F377)-N377)</f>
        <v>0</v>
      </c>
      <c r="P377" s="2" t="str">
        <f aca="false">IF(A377="","",IF(AND(MONTH(A377)=4,DAY(A377)&lt;6),13,MOD(MONTH(A377)-4,12)+1))</f>
        <v/>
      </c>
    </row>
    <row r="378" customFormat="false" ht="15" hidden="false" customHeight="false" outlineLevel="0" collapsed="false">
      <c r="A378" s="21"/>
      <c r="B378" s="6"/>
      <c r="C378" s="6"/>
      <c r="D378" s="6"/>
      <c r="E378" s="6"/>
      <c r="F378" s="22"/>
      <c r="G378" s="23"/>
      <c r="H378" s="24" t="str">
        <f aca="false">IF(B378="","",IFERROR(INDEX('Start here'!$C$16:$C$20,MATCH(B378,'Start here'!$B$16:$B$20,0)),"Check vehicle"))</f>
        <v/>
      </c>
      <c r="I378" s="25" t="str">
        <f aca="false">IF(OR(F378="",H378&lt;&gt;"Car or van"),"",SUMIFS($F$6:F378,$H$6:H378,"Car or van"))</f>
        <v/>
      </c>
      <c r="J378" s="24" t="str">
        <f aca="false">IF(F378="","",IF(H378="Car or van",IF(O378=0,TEXT(INDEX('Notes and sources'!$C$6:$D$6,1,'Start here'!$C$11)*100,"0")&amp;"p",IF(N378=0,TEXT(INDEX('Notes and sources'!$C$7:$D$7,1,'Start here'!$C$11)*100,"0")&amp;"p",TEXT(INDEX('Notes and sources'!$C$6:$D$6,1,'Start here'!$C$11)*100,"0")&amp;"p/"&amp;TEXT(INDEX('Notes and sources'!$C$7:$D$7,1,'Start here'!$C$11)*100,"0")&amp;"p")),IF(H378="Motorcycle",TEXT(INDEX('Notes and sources'!$C$8:$D$8,1,'Start here'!$C$11)*100,"0")&amp;"p",IF(H378="Bicycle",TEXT(INDEX('Notes and sources'!$C$9:$D$9,1,'Start here'!$C$11)*100,"0")&amp;"p",""))))</f>
        <v/>
      </c>
      <c r="K378" s="26" t="str">
        <f aca="false">IF(F378="","",ROUND(IF(H378="Car or van",N378*INDEX('Notes and sources'!$C$6:$D$6,1,'Start here'!$C$11)+O378*INDEX('Notes and sources'!$C$7:$D$7,1,'Start here'!$C$11)+N(G378)*N(F378)*INDEX('Notes and sources'!$C$10:$D$10,1,'Start here'!$C$11),IF(H378="Motorcycle",N(F378)*INDEX('Notes and sources'!$C$8:$D$8,1,'Start here'!$C$11),IF(H378="Bicycle",N(F378)*INDEX('Notes and sources'!$C$9:$D$9,1,'Start here'!$C$11),0))),2))</f>
        <v/>
      </c>
      <c r="L378" s="27"/>
      <c r="N378" s="2" t="n">
        <f aca="false">IF(I378="",0,MAX(0,MIN(N(F378),INDEX('Notes and sources'!$C$12:$D$12,1,'Start here'!$C$11)-(I378-N(F378)))))</f>
        <v>0</v>
      </c>
      <c r="O378" s="2" t="n">
        <f aca="false">IF(I378="",0,N(F378)-N378)</f>
        <v>0</v>
      </c>
      <c r="P378" s="2" t="str">
        <f aca="false">IF(A378="","",IF(AND(MONTH(A378)=4,DAY(A378)&lt;6),13,MOD(MONTH(A378)-4,12)+1))</f>
        <v/>
      </c>
    </row>
    <row r="379" customFormat="false" ht="15" hidden="false" customHeight="false" outlineLevel="0" collapsed="false">
      <c r="A379" s="21"/>
      <c r="B379" s="6"/>
      <c r="C379" s="6"/>
      <c r="D379" s="6"/>
      <c r="E379" s="6"/>
      <c r="F379" s="22"/>
      <c r="G379" s="23"/>
      <c r="H379" s="24" t="str">
        <f aca="false">IF(B379="","",IFERROR(INDEX('Start here'!$C$16:$C$20,MATCH(B379,'Start here'!$B$16:$B$20,0)),"Check vehicle"))</f>
        <v/>
      </c>
      <c r="I379" s="25" t="str">
        <f aca="false">IF(OR(F379="",H379&lt;&gt;"Car or van"),"",SUMIFS($F$6:F379,$H$6:H379,"Car or van"))</f>
        <v/>
      </c>
      <c r="J379" s="24" t="str">
        <f aca="false">IF(F379="","",IF(H379="Car or van",IF(O379=0,TEXT(INDEX('Notes and sources'!$C$6:$D$6,1,'Start here'!$C$11)*100,"0")&amp;"p",IF(N379=0,TEXT(INDEX('Notes and sources'!$C$7:$D$7,1,'Start here'!$C$11)*100,"0")&amp;"p",TEXT(INDEX('Notes and sources'!$C$6:$D$6,1,'Start here'!$C$11)*100,"0")&amp;"p/"&amp;TEXT(INDEX('Notes and sources'!$C$7:$D$7,1,'Start here'!$C$11)*100,"0")&amp;"p")),IF(H379="Motorcycle",TEXT(INDEX('Notes and sources'!$C$8:$D$8,1,'Start here'!$C$11)*100,"0")&amp;"p",IF(H379="Bicycle",TEXT(INDEX('Notes and sources'!$C$9:$D$9,1,'Start here'!$C$11)*100,"0")&amp;"p",""))))</f>
        <v/>
      </c>
      <c r="K379" s="26" t="str">
        <f aca="false">IF(F379="","",ROUND(IF(H379="Car or van",N379*INDEX('Notes and sources'!$C$6:$D$6,1,'Start here'!$C$11)+O379*INDEX('Notes and sources'!$C$7:$D$7,1,'Start here'!$C$11)+N(G379)*N(F379)*INDEX('Notes and sources'!$C$10:$D$10,1,'Start here'!$C$11),IF(H379="Motorcycle",N(F379)*INDEX('Notes and sources'!$C$8:$D$8,1,'Start here'!$C$11),IF(H379="Bicycle",N(F379)*INDEX('Notes and sources'!$C$9:$D$9,1,'Start here'!$C$11),0))),2))</f>
        <v/>
      </c>
      <c r="L379" s="27"/>
      <c r="N379" s="2" t="n">
        <f aca="false">IF(I379="",0,MAX(0,MIN(N(F379),INDEX('Notes and sources'!$C$12:$D$12,1,'Start here'!$C$11)-(I379-N(F379)))))</f>
        <v>0</v>
      </c>
      <c r="O379" s="2" t="n">
        <f aca="false">IF(I379="",0,N(F379)-N379)</f>
        <v>0</v>
      </c>
      <c r="P379" s="2" t="str">
        <f aca="false">IF(A379="","",IF(AND(MONTH(A379)=4,DAY(A379)&lt;6),13,MOD(MONTH(A379)-4,12)+1))</f>
        <v/>
      </c>
    </row>
    <row r="380" customFormat="false" ht="15" hidden="false" customHeight="false" outlineLevel="0" collapsed="false">
      <c r="A380" s="21"/>
      <c r="B380" s="6"/>
      <c r="C380" s="6"/>
      <c r="D380" s="6"/>
      <c r="E380" s="6"/>
      <c r="F380" s="22"/>
      <c r="G380" s="23"/>
      <c r="H380" s="24" t="str">
        <f aca="false">IF(B380="","",IFERROR(INDEX('Start here'!$C$16:$C$20,MATCH(B380,'Start here'!$B$16:$B$20,0)),"Check vehicle"))</f>
        <v/>
      </c>
      <c r="I380" s="25" t="str">
        <f aca="false">IF(OR(F380="",H380&lt;&gt;"Car or van"),"",SUMIFS($F$6:F380,$H$6:H380,"Car or van"))</f>
        <v/>
      </c>
      <c r="J380" s="24" t="str">
        <f aca="false">IF(F380="","",IF(H380="Car or van",IF(O380=0,TEXT(INDEX('Notes and sources'!$C$6:$D$6,1,'Start here'!$C$11)*100,"0")&amp;"p",IF(N380=0,TEXT(INDEX('Notes and sources'!$C$7:$D$7,1,'Start here'!$C$11)*100,"0")&amp;"p",TEXT(INDEX('Notes and sources'!$C$6:$D$6,1,'Start here'!$C$11)*100,"0")&amp;"p/"&amp;TEXT(INDEX('Notes and sources'!$C$7:$D$7,1,'Start here'!$C$11)*100,"0")&amp;"p")),IF(H380="Motorcycle",TEXT(INDEX('Notes and sources'!$C$8:$D$8,1,'Start here'!$C$11)*100,"0")&amp;"p",IF(H380="Bicycle",TEXT(INDEX('Notes and sources'!$C$9:$D$9,1,'Start here'!$C$11)*100,"0")&amp;"p",""))))</f>
        <v/>
      </c>
      <c r="K380" s="26" t="str">
        <f aca="false">IF(F380="","",ROUND(IF(H380="Car or van",N380*INDEX('Notes and sources'!$C$6:$D$6,1,'Start here'!$C$11)+O380*INDEX('Notes and sources'!$C$7:$D$7,1,'Start here'!$C$11)+N(G380)*N(F380)*INDEX('Notes and sources'!$C$10:$D$10,1,'Start here'!$C$11),IF(H380="Motorcycle",N(F380)*INDEX('Notes and sources'!$C$8:$D$8,1,'Start here'!$C$11),IF(H380="Bicycle",N(F380)*INDEX('Notes and sources'!$C$9:$D$9,1,'Start here'!$C$11),0))),2))</f>
        <v/>
      </c>
      <c r="L380" s="27"/>
      <c r="N380" s="2" t="n">
        <f aca="false">IF(I380="",0,MAX(0,MIN(N(F380),INDEX('Notes and sources'!$C$12:$D$12,1,'Start here'!$C$11)-(I380-N(F380)))))</f>
        <v>0</v>
      </c>
      <c r="O380" s="2" t="n">
        <f aca="false">IF(I380="",0,N(F380)-N380)</f>
        <v>0</v>
      </c>
      <c r="P380" s="2" t="str">
        <f aca="false">IF(A380="","",IF(AND(MONTH(A380)=4,DAY(A380)&lt;6),13,MOD(MONTH(A380)-4,12)+1))</f>
        <v/>
      </c>
    </row>
    <row r="381" customFormat="false" ht="15" hidden="false" customHeight="false" outlineLevel="0" collapsed="false">
      <c r="A381" s="21"/>
      <c r="B381" s="6"/>
      <c r="C381" s="6"/>
      <c r="D381" s="6"/>
      <c r="E381" s="6"/>
      <c r="F381" s="22"/>
      <c r="G381" s="23"/>
      <c r="H381" s="24" t="str">
        <f aca="false">IF(B381="","",IFERROR(INDEX('Start here'!$C$16:$C$20,MATCH(B381,'Start here'!$B$16:$B$20,0)),"Check vehicle"))</f>
        <v/>
      </c>
      <c r="I381" s="25" t="str">
        <f aca="false">IF(OR(F381="",H381&lt;&gt;"Car or van"),"",SUMIFS($F$6:F381,$H$6:H381,"Car or van"))</f>
        <v/>
      </c>
      <c r="J381" s="24" t="str">
        <f aca="false">IF(F381="","",IF(H381="Car or van",IF(O381=0,TEXT(INDEX('Notes and sources'!$C$6:$D$6,1,'Start here'!$C$11)*100,"0")&amp;"p",IF(N381=0,TEXT(INDEX('Notes and sources'!$C$7:$D$7,1,'Start here'!$C$11)*100,"0")&amp;"p",TEXT(INDEX('Notes and sources'!$C$6:$D$6,1,'Start here'!$C$11)*100,"0")&amp;"p/"&amp;TEXT(INDEX('Notes and sources'!$C$7:$D$7,1,'Start here'!$C$11)*100,"0")&amp;"p")),IF(H381="Motorcycle",TEXT(INDEX('Notes and sources'!$C$8:$D$8,1,'Start here'!$C$11)*100,"0")&amp;"p",IF(H381="Bicycle",TEXT(INDEX('Notes and sources'!$C$9:$D$9,1,'Start here'!$C$11)*100,"0")&amp;"p",""))))</f>
        <v/>
      </c>
      <c r="K381" s="26" t="str">
        <f aca="false">IF(F381="","",ROUND(IF(H381="Car or van",N381*INDEX('Notes and sources'!$C$6:$D$6,1,'Start here'!$C$11)+O381*INDEX('Notes and sources'!$C$7:$D$7,1,'Start here'!$C$11)+N(G381)*N(F381)*INDEX('Notes and sources'!$C$10:$D$10,1,'Start here'!$C$11),IF(H381="Motorcycle",N(F381)*INDEX('Notes and sources'!$C$8:$D$8,1,'Start here'!$C$11),IF(H381="Bicycle",N(F381)*INDEX('Notes and sources'!$C$9:$D$9,1,'Start here'!$C$11),0))),2))</f>
        <v/>
      </c>
      <c r="L381" s="27"/>
      <c r="N381" s="2" t="n">
        <f aca="false">IF(I381="",0,MAX(0,MIN(N(F381),INDEX('Notes and sources'!$C$12:$D$12,1,'Start here'!$C$11)-(I381-N(F381)))))</f>
        <v>0</v>
      </c>
      <c r="O381" s="2" t="n">
        <f aca="false">IF(I381="",0,N(F381)-N381)</f>
        <v>0</v>
      </c>
      <c r="P381" s="2" t="str">
        <f aca="false">IF(A381="","",IF(AND(MONTH(A381)=4,DAY(A381)&lt;6),13,MOD(MONTH(A381)-4,12)+1))</f>
        <v/>
      </c>
    </row>
    <row r="382" customFormat="false" ht="15" hidden="false" customHeight="false" outlineLevel="0" collapsed="false">
      <c r="A382" s="21"/>
      <c r="B382" s="6"/>
      <c r="C382" s="6"/>
      <c r="D382" s="6"/>
      <c r="E382" s="6"/>
      <c r="F382" s="22"/>
      <c r="G382" s="23"/>
      <c r="H382" s="24" t="str">
        <f aca="false">IF(B382="","",IFERROR(INDEX('Start here'!$C$16:$C$20,MATCH(B382,'Start here'!$B$16:$B$20,0)),"Check vehicle"))</f>
        <v/>
      </c>
      <c r="I382" s="25" t="str">
        <f aca="false">IF(OR(F382="",H382&lt;&gt;"Car or van"),"",SUMIFS($F$6:F382,$H$6:H382,"Car or van"))</f>
        <v/>
      </c>
      <c r="J382" s="24" t="str">
        <f aca="false">IF(F382="","",IF(H382="Car or van",IF(O382=0,TEXT(INDEX('Notes and sources'!$C$6:$D$6,1,'Start here'!$C$11)*100,"0")&amp;"p",IF(N382=0,TEXT(INDEX('Notes and sources'!$C$7:$D$7,1,'Start here'!$C$11)*100,"0")&amp;"p",TEXT(INDEX('Notes and sources'!$C$6:$D$6,1,'Start here'!$C$11)*100,"0")&amp;"p/"&amp;TEXT(INDEX('Notes and sources'!$C$7:$D$7,1,'Start here'!$C$11)*100,"0")&amp;"p")),IF(H382="Motorcycle",TEXT(INDEX('Notes and sources'!$C$8:$D$8,1,'Start here'!$C$11)*100,"0")&amp;"p",IF(H382="Bicycle",TEXT(INDEX('Notes and sources'!$C$9:$D$9,1,'Start here'!$C$11)*100,"0")&amp;"p",""))))</f>
        <v/>
      </c>
      <c r="K382" s="26" t="str">
        <f aca="false">IF(F382="","",ROUND(IF(H382="Car or van",N382*INDEX('Notes and sources'!$C$6:$D$6,1,'Start here'!$C$11)+O382*INDEX('Notes and sources'!$C$7:$D$7,1,'Start here'!$C$11)+N(G382)*N(F382)*INDEX('Notes and sources'!$C$10:$D$10,1,'Start here'!$C$11),IF(H382="Motorcycle",N(F382)*INDEX('Notes and sources'!$C$8:$D$8,1,'Start here'!$C$11),IF(H382="Bicycle",N(F382)*INDEX('Notes and sources'!$C$9:$D$9,1,'Start here'!$C$11),0))),2))</f>
        <v/>
      </c>
      <c r="L382" s="27"/>
      <c r="N382" s="2" t="n">
        <f aca="false">IF(I382="",0,MAX(0,MIN(N(F382),INDEX('Notes and sources'!$C$12:$D$12,1,'Start here'!$C$11)-(I382-N(F382)))))</f>
        <v>0</v>
      </c>
      <c r="O382" s="2" t="n">
        <f aca="false">IF(I382="",0,N(F382)-N382)</f>
        <v>0</v>
      </c>
      <c r="P382" s="2" t="str">
        <f aca="false">IF(A382="","",IF(AND(MONTH(A382)=4,DAY(A382)&lt;6),13,MOD(MONTH(A382)-4,12)+1))</f>
        <v/>
      </c>
    </row>
    <row r="383" customFormat="false" ht="15" hidden="false" customHeight="false" outlineLevel="0" collapsed="false">
      <c r="A383" s="21"/>
      <c r="B383" s="6"/>
      <c r="C383" s="6"/>
      <c r="D383" s="6"/>
      <c r="E383" s="6"/>
      <c r="F383" s="22"/>
      <c r="G383" s="23"/>
      <c r="H383" s="24" t="str">
        <f aca="false">IF(B383="","",IFERROR(INDEX('Start here'!$C$16:$C$20,MATCH(B383,'Start here'!$B$16:$B$20,0)),"Check vehicle"))</f>
        <v/>
      </c>
      <c r="I383" s="25" t="str">
        <f aca="false">IF(OR(F383="",H383&lt;&gt;"Car or van"),"",SUMIFS($F$6:F383,$H$6:H383,"Car or van"))</f>
        <v/>
      </c>
      <c r="J383" s="24" t="str">
        <f aca="false">IF(F383="","",IF(H383="Car or van",IF(O383=0,TEXT(INDEX('Notes and sources'!$C$6:$D$6,1,'Start here'!$C$11)*100,"0")&amp;"p",IF(N383=0,TEXT(INDEX('Notes and sources'!$C$7:$D$7,1,'Start here'!$C$11)*100,"0")&amp;"p",TEXT(INDEX('Notes and sources'!$C$6:$D$6,1,'Start here'!$C$11)*100,"0")&amp;"p/"&amp;TEXT(INDEX('Notes and sources'!$C$7:$D$7,1,'Start here'!$C$11)*100,"0")&amp;"p")),IF(H383="Motorcycle",TEXT(INDEX('Notes and sources'!$C$8:$D$8,1,'Start here'!$C$11)*100,"0")&amp;"p",IF(H383="Bicycle",TEXT(INDEX('Notes and sources'!$C$9:$D$9,1,'Start here'!$C$11)*100,"0")&amp;"p",""))))</f>
        <v/>
      </c>
      <c r="K383" s="26" t="str">
        <f aca="false">IF(F383="","",ROUND(IF(H383="Car or van",N383*INDEX('Notes and sources'!$C$6:$D$6,1,'Start here'!$C$11)+O383*INDEX('Notes and sources'!$C$7:$D$7,1,'Start here'!$C$11)+N(G383)*N(F383)*INDEX('Notes and sources'!$C$10:$D$10,1,'Start here'!$C$11),IF(H383="Motorcycle",N(F383)*INDEX('Notes and sources'!$C$8:$D$8,1,'Start here'!$C$11),IF(H383="Bicycle",N(F383)*INDEX('Notes and sources'!$C$9:$D$9,1,'Start here'!$C$11),0))),2))</f>
        <v/>
      </c>
      <c r="L383" s="27"/>
      <c r="N383" s="2" t="n">
        <f aca="false">IF(I383="",0,MAX(0,MIN(N(F383),INDEX('Notes and sources'!$C$12:$D$12,1,'Start here'!$C$11)-(I383-N(F383)))))</f>
        <v>0</v>
      </c>
      <c r="O383" s="2" t="n">
        <f aca="false">IF(I383="",0,N(F383)-N383)</f>
        <v>0</v>
      </c>
      <c r="P383" s="2" t="str">
        <f aca="false">IF(A383="","",IF(AND(MONTH(A383)=4,DAY(A383)&lt;6),13,MOD(MONTH(A383)-4,12)+1))</f>
        <v/>
      </c>
    </row>
    <row r="384" customFormat="false" ht="15" hidden="false" customHeight="false" outlineLevel="0" collapsed="false">
      <c r="A384" s="21"/>
      <c r="B384" s="6"/>
      <c r="C384" s="6"/>
      <c r="D384" s="6"/>
      <c r="E384" s="6"/>
      <c r="F384" s="22"/>
      <c r="G384" s="23"/>
      <c r="H384" s="24" t="str">
        <f aca="false">IF(B384="","",IFERROR(INDEX('Start here'!$C$16:$C$20,MATCH(B384,'Start here'!$B$16:$B$20,0)),"Check vehicle"))</f>
        <v/>
      </c>
      <c r="I384" s="25" t="str">
        <f aca="false">IF(OR(F384="",H384&lt;&gt;"Car or van"),"",SUMIFS($F$6:F384,$H$6:H384,"Car or van"))</f>
        <v/>
      </c>
      <c r="J384" s="24" t="str">
        <f aca="false">IF(F384="","",IF(H384="Car or van",IF(O384=0,TEXT(INDEX('Notes and sources'!$C$6:$D$6,1,'Start here'!$C$11)*100,"0")&amp;"p",IF(N384=0,TEXT(INDEX('Notes and sources'!$C$7:$D$7,1,'Start here'!$C$11)*100,"0")&amp;"p",TEXT(INDEX('Notes and sources'!$C$6:$D$6,1,'Start here'!$C$11)*100,"0")&amp;"p/"&amp;TEXT(INDEX('Notes and sources'!$C$7:$D$7,1,'Start here'!$C$11)*100,"0")&amp;"p")),IF(H384="Motorcycle",TEXT(INDEX('Notes and sources'!$C$8:$D$8,1,'Start here'!$C$11)*100,"0")&amp;"p",IF(H384="Bicycle",TEXT(INDEX('Notes and sources'!$C$9:$D$9,1,'Start here'!$C$11)*100,"0")&amp;"p",""))))</f>
        <v/>
      </c>
      <c r="K384" s="26" t="str">
        <f aca="false">IF(F384="","",ROUND(IF(H384="Car or van",N384*INDEX('Notes and sources'!$C$6:$D$6,1,'Start here'!$C$11)+O384*INDEX('Notes and sources'!$C$7:$D$7,1,'Start here'!$C$11)+N(G384)*N(F384)*INDEX('Notes and sources'!$C$10:$D$10,1,'Start here'!$C$11),IF(H384="Motorcycle",N(F384)*INDEX('Notes and sources'!$C$8:$D$8,1,'Start here'!$C$11),IF(H384="Bicycle",N(F384)*INDEX('Notes and sources'!$C$9:$D$9,1,'Start here'!$C$11),0))),2))</f>
        <v/>
      </c>
      <c r="L384" s="27"/>
      <c r="N384" s="2" t="n">
        <f aca="false">IF(I384="",0,MAX(0,MIN(N(F384),INDEX('Notes and sources'!$C$12:$D$12,1,'Start here'!$C$11)-(I384-N(F384)))))</f>
        <v>0</v>
      </c>
      <c r="O384" s="2" t="n">
        <f aca="false">IF(I384="",0,N(F384)-N384)</f>
        <v>0</v>
      </c>
      <c r="P384" s="2" t="str">
        <f aca="false">IF(A384="","",IF(AND(MONTH(A384)=4,DAY(A384)&lt;6),13,MOD(MONTH(A384)-4,12)+1))</f>
        <v/>
      </c>
    </row>
    <row r="385" customFormat="false" ht="15" hidden="false" customHeight="false" outlineLevel="0" collapsed="false">
      <c r="A385" s="21"/>
      <c r="B385" s="6"/>
      <c r="C385" s="6"/>
      <c r="D385" s="6"/>
      <c r="E385" s="6"/>
      <c r="F385" s="22"/>
      <c r="G385" s="23"/>
      <c r="H385" s="24" t="str">
        <f aca="false">IF(B385="","",IFERROR(INDEX('Start here'!$C$16:$C$20,MATCH(B385,'Start here'!$B$16:$B$20,0)),"Check vehicle"))</f>
        <v/>
      </c>
      <c r="I385" s="25" t="str">
        <f aca="false">IF(OR(F385="",H385&lt;&gt;"Car or van"),"",SUMIFS($F$6:F385,$H$6:H385,"Car or van"))</f>
        <v/>
      </c>
      <c r="J385" s="24" t="str">
        <f aca="false">IF(F385="","",IF(H385="Car or van",IF(O385=0,TEXT(INDEX('Notes and sources'!$C$6:$D$6,1,'Start here'!$C$11)*100,"0")&amp;"p",IF(N385=0,TEXT(INDEX('Notes and sources'!$C$7:$D$7,1,'Start here'!$C$11)*100,"0")&amp;"p",TEXT(INDEX('Notes and sources'!$C$6:$D$6,1,'Start here'!$C$11)*100,"0")&amp;"p/"&amp;TEXT(INDEX('Notes and sources'!$C$7:$D$7,1,'Start here'!$C$11)*100,"0")&amp;"p")),IF(H385="Motorcycle",TEXT(INDEX('Notes and sources'!$C$8:$D$8,1,'Start here'!$C$11)*100,"0")&amp;"p",IF(H385="Bicycle",TEXT(INDEX('Notes and sources'!$C$9:$D$9,1,'Start here'!$C$11)*100,"0")&amp;"p",""))))</f>
        <v/>
      </c>
      <c r="K385" s="26" t="str">
        <f aca="false">IF(F385="","",ROUND(IF(H385="Car or van",N385*INDEX('Notes and sources'!$C$6:$D$6,1,'Start here'!$C$11)+O385*INDEX('Notes and sources'!$C$7:$D$7,1,'Start here'!$C$11)+N(G385)*N(F385)*INDEX('Notes and sources'!$C$10:$D$10,1,'Start here'!$C$11),IF(H385="Motorcycle",N(F385)*INDEX('Notes and sources'!$C$8:$D$8,1,'Start here'!$C$11),IF(H385="Bicycle",N(F385)*INDEX('Notes and sources'!$C$9:$D$9,1,'Start here'!$C$11),0))),2))</f>
        <v/>
      </c>
      <c r="L385" s="27"/>
      <c r="N385" s="2" t="n">
        <f aca="false">IF(I385="",0,MAX(0,MIN(N(F385),INDEX('Notes and sources'!$C$12:$D$12,1,'Start here'!$C$11)-(I385-N(F385)))))</f>
        <v>0</v>
      </c>
      <c r="O385" s="2" t="n">
        <f aca="false">IF(I385="",0,N(F385)-N385)</f>
        <v>0</v>
      </c>
      <c r="P385" s="2" t="str">
        <f aca="false">IF(A385="","",IF(AND(MONTH(A385)=4,DAY(A385)&lt;6),13,MOD(MONTH(A385)-4,12)+1))</f>
        <v/>
      </c>
    </row>
    <row r="386" customFormat="false" ht="15" hidden="false" customHeight="false" outlineLevel="0" collapsed="false">
      <c r="A386" s="21"/>
      <c r="B386" s="6"/>
      <c r="C386" s="6"/>
      <c r="D386" s="6"/>
      <c r="E386" s="6"/>
      <c r="F386" s="22"/>
      <c r="G386" s="23"/>
      <c r="H386" s="24" t="str">
        <f aca="false">IF(B386="","",IFERROR(INDEX('Start here'!$C$16:$C$20,MATCH(B386,'Start here'!$B$16:$B$20,0)),"Check vehicle"))</f>
        <v/>
      </c>
      <c r="I386" s="25" t="str">
        <f aca="false">IF(OR(F386="",H386&lt;&gt;"Car or van"),"",SUMIFS($F$6:F386,$H$6:H386,"Car or van"))</f>
        <v/>
      </c>
      <c r="J386" s="24" t="str">
        <f aca="false">IF(F386="","",IF(H386="Car or van",IF(O386=0,TEXT(INDEX('Notes and sources'!$C$6:$D$6,1,'Start here'!$C$11)*100,"0")&amp;"p",IF(N386=0,TEXT(INDEX('Notes and sources'!$C$7:$D$7,1,'Start here'!$C$11)*100,"0")&amp;"p",TEXT(INDEX('Notes and sources'!$C$6:$D$6,1,'Start here'!$C$11)*100,"0")&amp;"p/"&amp;TEXT(INDEX('Notes and sources'!$C$7:$D$7,1,'Start here'!$C$11)*100,"0")&amp;"p")),IF(H386="Motorcycle",TEXT(INDEX('Notes and sources'!$C$8:$D$8,1,'Start here'!$C$11)*100,"0")&amp;"p",IF(H386="Bicycle",TEXT(INDEX('Notes and sources'!$C$9:$D$9,1,'Start here'!$C$11)*100,"0")&amp;"p",""))))</f>
        <v/>
      </c>
      <c r="K386" s="26" t="str">
        <f aca="false">IF(F386="","",ROUND(IF(H386="Car or van",N386*INDEX('Notes and sources'!$C$6:$D$6,1,'Start here'!$C$11)+O386*INDEX('Notes and sources'!$C$7:$D$7,1,'Start here'!$C$11)+N(G386)*N(F386)*INDEX('Notes and sources'!$C$10:$D$10,1,'Start here'!$C$11),IF(H386="Motorcycle",N(F386)*INDEX('Notes and sources'!$C$8:$D$8,1,'Start here'!$C$11),IF(H386="Bicycle",N(F386)*INDEX('Notes and sources'!$C$9:$D$9,1,'Start here'!$C$11),0))),2))</f>
        <v/>
      </c>
      <c r="L386" s="27"/>
      <c r="N386" s="2" t="n">
        <f aca="false">IF(I386="",0,MAX(0,MIN(N(F386),INDEX('Notes and sources'!$C$12:$D$12,1,'Start here'!$C$11)-(I386-N(F386)))))</f>
        <v>0</v>
      </c>
      <c r="O386" s="2" t="n">
        <f aca="false">IF(I386="",0,N(F386)-N386)</f>
        <v>0</v>
      </c>
      <c r="P386" s="2" t="str">
        <f aca="false">IF(A386="","",IF(AND(MONTH(A386)=4,DAY(A386)&lt;6),13,MOD(MONTH(A386)-4,12)+1))</f>
        <v/>
      </c>
    </row>
    <row r="387" customFormat="false" ht="15" hidden="false" customHeight="false" outlineLevel="0" collapsed="false">
      <c r="A387" s="21"/>
      <c r="B387" s="6"/>
      <c r="C387" s="6"/>
      <c r="D387" s="6"/>
      <c r="E387" s="6"/>
      <c r="F387" s="22"/>
      <c r="G387" s="23"/>
      <c r="H387" s="24" t="str">
        <f aca="false">IF(B387="","",IFERROR(INDEX('Start here'!$C$16:$C$20,MATCH(B387,'Start here'!$B$16:$B$20,0)),"Check vehicle"))</f>
        <v/>
      </c>
      <c r="I387" s="25" t="str">
        <f aca="false">IF(OR(F387="",H387&lt;&gt;"Car or van"),"",SUMIFS($F$6:F387,$H$6:H387,"Car or van"))</f>
        <v/>
      </c>
      <c r="J387" s="24" t="str">
        <f aca="false">IF(F387="","",IF(H387="Car or van",IF(O387=0,TEXT(INDEX('Notes and sources'!$C$6:$D$6,1,'Start here'!$C$11)*100,"0")&amp;"p",IF(N387=0,TEXT(INDEX('Notes and sources'!$C$7:$D$7,1,'Start here'!$C$11)*100,"0")&amp;"p",TEXT(INDEX('Notes and sources'!$C$6:$D$6,1,'Start here'!$C$11)*100,"0")&amp;"p/"&amp;TEXT(INDEX('Notes and sources'!$C$7:$D$7,1,'Start here'!$C$11)*100,"0")&amp;"p")),IF(H387="Motorcycle",TEXT(INDEX('Notes and sources'!$C$8:$D$8,1,'Start here'!$C$11)*100,"0")&amp;"p",IF(H387="Bicycle",TEXT(INDEX('Notes and sources'!$C$9:$D$9,1,'Start here'!$C$11)*100,"0")&amp;"p",""))))</f>
        <v/>
      </c>
      <c r="K387" s="26" t="str">
        <f aca="false">IF(F387="","",ROUND(IF(H387="Car or van",N387*INDEX('Notes and sources'!$C$6:$D$6,1,'Start here'!$C$11)+O387*INDEX('Notes and sources'!$C$7:$D$7,1,'Start here'!$C$11)+N(G387)*N(F387)*INDEX('Notes and sources'!$C$10:$D$10,1,'Start here'!$C$11),IF(H387="Motorcycle",N(F387)*INDEX('Notes and sources'!$C$8:$D$8,1,'Start here'!$C$11),IF(H387="Bicycle",N(F387)*INDEX('Notes and sources'!$C$9:$D$9,1,'Start here'!$C$11),0))),2))</f>
        <v/>
      </c>
      <c r="L387" s="27"/>
      <c r="N387" s="2" t="n">
        <f aca="false">IF(I387="",0,MAX(0,MIN(N(F387),INDEX('Notes and sources'!$C$12:$D$12,1,'Start here'!$C$11)-(I387-N(F387)))))</f>
        <v>0</v>
      </c>
      <c r="O387" s="2" t="n">
        <f aca="false">IF(I387="",0,N(F387)-N387)</f>
        <v>0</v>
      </c>
      <c r="P387" s="2" t="str">
        <f aca="false">IF(A387="","",IF(AND(MONTH(A387)=4,DAY(A387)&lt;6),13,MOD(MONTH(A387)-4,12)+1))</f>
        <v/>
      </c>
    </row>
    <row r="388" customFormat="false" ht="15" hidden="false" customHeight="false" outlineLevel="0" collapsed="false">
      <c r="A388" s="21"/>
      <c r="B388" s="6"/>
      <c r="C388" s="6"/>
      <c r="D388" s="6"/>
      <c r="E388" s="6"/>
      <c r="F388" s="22"/>
      <c r="G388" s="23"/>
      <c r="H388" s="24" t="str">
        <f aca="false">IF(B388="","",IFERROR(INDEX('Start here'!$C$16:$C$20,MATCH(B388,'Start here'!$B$16:$B$20,0)),"Check vehicle"))</f>
        <v/>
      </c>
      <c r="I388" s="25" t="str">
        <f aca="false">IF(OR(F388="",H388&lt;&gt;"Car or van"),"",SUMIFS($F$6:F388,$H$6:H388,"Car or van"))</f>
        <v/>
      </c>
      <c r="J388" s="24" t="str">
        <f aca="false">IF(F388="","",IF(H388="Car or van",IF(O388=0,TEXT(INDEX('Notes and sources'!$C$6:$D$6,1,'Start here'!$C$11)*100,"0")&amp;"p",IF(N388=0,TEXT(INDEX('Notes and sources'!$C$7:$D$7,1,'Start here'!$C$11)*100,"0")&amp;"p",TEXT(INDEX('Notes and sources'!$C$6:$D$6,1,'Start here'!$C$11)*100,"0")&amp;"p/"&amp;TEXT(INDEX('Notes and sources'!$C$7:$D$7,1,'Start here'!$C$11)*100,"0")&amp;"p")),IF(H388="Motorcycle",TEXT(INDEX('Notes and sources'!$C$8:$D$8,1,'Start here'!$C$11)*100,"0")&amp;"p",IF(H388="Bicycle",TEXT(INDEX('Notes and sources'!$C$9:$D$9,1,'Start here'!$C$11)*100,"0")&amp;"p",""))))</f>
        <v/>
      </c>
      <c r="K388" s="26" t="str">
        <f aca="false">IF(F388="","",ROUND(IF(H388="Car or van",N388*INDEX('Notes and sources'!$C$6:$D$6,1,'Start here'!$C$11)+O388*INDEX('Notes and sources'!$C$7:$D$7,1,'Start here'!$C$11)+N(G388)*N(F388)*INDEX('Notes and sources'!$C$10:$D$10,1,'Start here'!$C$11),IF(H388="Motorcycle",N(F388)*INDEX('Notes and sources'!$C$8:$D$8,1,'Start here'!$C$11),IF(H388="Bicycle",N(F388)*INDEX('Notes and sources'!$C$9:$D$9,1,'Start here'!$C$11),0))),2))</f>
        <v/>
      </c>
      <c r="L388" s="27"/>
      <c r="N388" s="2" t="n">
        <f aca="false">IF(I388="",0,MAX(0,MIN(N(F388),INDEX('Notes and sources'!$C$12:$D$12,1,'Start here'!$C$11)-(I388-N(F388)))))</f>
        <v>0</v>
      </c>
      <c r="O388" s="2" t="n">
        <f aca="false">IF(I388="",0,N(F388)-N388)</f>
        <v>0</v>
      </c>
      <c r="P388" s="2" t="str">
        <f aca="false">IF(A388="","",IF(AND(MONTH(A388)=4,DAY(A388)&lt;6),13,MOD(MONTH(A388)-4,12)+1))</f>
        <v/>
      </c>
    </row>
    <row r="389" customFormat="false" ht="15" hidden="false" customHeight="false" outlineLevel="0" collapsed="false">
      <c r="A389" s="21"/>
      <c r="B389" s="6"/>
      <c r="C389" s="6"/>
      <c r="D389" s="6"/>
      <c r="E389" s="6"/>
      <c r="F389" s="22"/>
      <c r="G389" s="23"/>
      <c r="H389" s="24" t="str">
        <f aca="false">IF(B389="","",IFERROR(INDEX('Start here'!$C$16:$C$20,MATCH(B389,'Start here'!$B$16:$B$20,0)),"Check vehicle"))</f>
        <v/>
      </c>
      <c r="I389" s="25" t="str">
        <f aca="false">IF(OR(F389="",H389&lt;&gt;"Car or van"),"",SUMIFS($F$6:F389,$H$6:H389,"Car or van"))</f>
        <v/>
      </c>
      <c r="J389" s="24" t="str">
        <f aca="false">IF(F389="","",IF(H389="Car or van",IF(O389=0,TEXT(INDEX('Notes and sources'!$C$6:$D$6,1,'Start here'!$C$11)*100,"0")&amp;"p",IF(N389=0,TEXT(INDEX('Notes and sources'!$C$7:$D$7,1,'Start here'!$C$11)*100,"0")&amp;"p",TEXT(INDEX('Notes and sources'!$C$6:$D$6,1,'Start here'!$C$11)*100,"0")&amp;"p/"&amp;TEXT(INDEX('Notes and sources'!$C$7:$D$7,1,'Start here'!$C$11)*100,"0")&amp;"p")),IF(H389="Motorcycle",TEXT(INDEX('Notes and sources'!$C$8:$D$8,1,'Start here'!$C$11)*100,"0")&amp;"p",IF(H389="Bicycle",TEXT(INDEX('Notes and sources'!$C$9:$D$9,1,'Start here'!$C$11)*100,"0")&amp;"p",""))))</f>
        <v/>
      </c>
      <c r="K389" s="26" t="str">
        <f aca="false">IF(F389="","",ROUND(IF(H389="Car or van",N389*INDEX('Notes and sources'!$C$6:$D$6,1,'Start here'!$C$11)+O389*INDEX('Notes and sources'!$C$7:$D$7,1,'Start here'!$C$11)+N(G389)*N(F389)*INDEX('Notes and sources'!$C$10:$D$10,1,'Start here'!$C$11),IF(H389="Motorcycle",N(F389)*INDEX('Notes and sources'!$C$8:$D$8,1,'Start here'!$C$11),IF(H389="Bicycle",N(F389)*INDEX('Notes and sources'!$C$9:$D$9,1,'Start here'!$C$11),0))),2))</f>
        <v/>
      </c>
      <c r="L389" s="27"/>
      <c r="N389" s="2" t="n">
        <f aca="false">IF(I389="",0,MAX(0,MIN(N(F389),INDEX('Notes and sources'!$C$12:$D$12,1,'Start here'!$C$11)-(I389-N(F389)))))</f>
        <v>0</v>
      </c>
      <c r="O389" s="2" t="n">
        <f aca="false">IF(I389="",0,N(F389)-N389)</f>
        <v>0</v>
      </c>
      <c r="P389" s="2" t="str">
        <f aca="false">IF(A389="","",IF(AND(MONTH(A389)=4,DAY(A389)&lt;6),13,MOD(MONTH(A389)-4,12)+1))</f>
        <v/>
      </c>
    </row>
    <row r="390" customFormat="false" ht="15" hidden="false" customHeight="false" outlineLevel="0" collapsed="false">
      <c r="A390" s="21"/>
      <c r="B390" s="6"/>
      <c r="C390" s="6"/>
      <c r="D390" s="6"/>
      <c r="E390" s="6"/>
      <c r="F390" s="22"/>
      <c r="G390" s="23"/>
      <c r="H390" s="24" t="str">
        <f aca="false">IF(B390="","",IFERROR(INDEX('Start here'!$C$16:$C$20,MATCH(B390,'Start here'!$B$16:$B$20,0)),"Check vehicle"))</f>
        <v/>
      </c>
      <c r="I390" s="25" t="str">
        <f aca="false">IF(OR(F390="",H390&lt;&gt;"Car or van"),"",SUMIFS($F$6:F390,$H$6:H390,"Car or van"))</f>
        <v/>
      </c>
      <c r="J390" s="24" t="str">
        <f aca="false">IF(F390="","",IF(H390="Car or van",IF(O390=0,TEXT(INDEX('Notes and sources'!$C$6:$D$6,1,'Start here'!$C$11)*100,"0")&amp;"p",IF(N390=0,TEXT(INDEX('Notes and sources'!$C$7:$D$7,1,'Start here'!$C$11)*100,"0")&amp;"p",TEXT(INDEX('Notes and sources'!$C$6:$D$6,1,'Start here'!$C$11)*100,"0")&amp;"p/"&amp;TEXT(INDEX('Notes and sources'!$C$7:$D$7,1,'Start here'!$C$11)*100,"0")&amp;"p")),IF(H390="Motorcycle",TEXT(INDEX('Notes and sources'!$C$8:$D$8,1,'Start here'!$C$11)*100,"0")&amp;"p",IF(H390="Bicycle",TEXT(INDEX('Notes and sources'!$C$9:$D$9,1,'Start here'!$C$11)*100,"0")&amp;"p",""))))</f>
        <v/>
      </c>
      <c r="K390" s="26" t="str">
        <f aca="false">IF(F390="","",ROUND(IF(H390="Car or van",N390*INDEX('Notes and sources'!$C$6:$D$6,1,'Start here'!$C$11)+O390*INDEX('Notes and sources'!$C$7:$D$7,1,'Start here'!$C$11)+N(G390)*N(F390)*INDEX('Notes and sources'!$C$10:$D$10,1,'Start here'!$C$11),IF(H390="Motorcycle",N(F390)*INDEX('Notes and sources'!$C$8:$D$8,1,'Start here'!$C$11),IF(H390="Bicycle",N(F390)*INDEX('Notes and sources'!$C$9:$D$9,1,'Start here'!$C$11),0))),2))</f>
        <v/>
      </c>
      <c r="L390" s="27"/>
      <c r="N390" s="2" t="n">
        <f aca="false">IF(I390="",0,MAX(0,MIN(N(F390),INDEX('Notes and sources'!$C$12:$D$12,1,'Start here'!$C$11)-(I390-N(F390)))))</f>
        <v>0</v>
      </c>
      <c r="O390" s="2" t="n">
        <f aca="false">IF(I390="",0,N(F390)-N390)</f>
        <v>0</v>
      </c>
      <c r="P390" s="2" t="str">
        <f aca="false">IF(A390="","",IF(AND(MONTH(A390)=4,DAY(A390)&lt;6),13,MOD(MONTH(A390)-4,12)+1))</f>
        <v/>
      </c>
    </row>
    <row r="391" customFormat="false" ht="15" hidden="false" customHeight="false" outlineLevel="0" collapsed="false">
      <c r="A391" s="21"/>
      <c r="B391" s="6"/>
      <c r="C391" s="6"/>
      <c r="D391" s="6"/>
      <c r="E391" s="6"/>
      <c r="F391" s="22"/>
      <c r="G391" s="23"/>
      <c r="H391" s="24" t="str">
        <f aca="false">IF(B391="","",IFERROR(INDEX('Start here'!$C$16:$C$20,MATCH(B391,'Start here'!$B$16:$B$20,0)),"Check vehicle"))</f>
        <v/>
      </c>
      <c r="I391" s="25" t="str">
        <f aca="false">IF(OR(F391="",H391&lt;&gt;"Car or van"),"",SUMIFS($F$6:F391,$H$6:H391,"Car or van"))</f>
        <v/>
      </c>
      <c r="J391" s="24" t="str">
        <f aca="false">IF(F391="","",IF(H391="Car or van",IF(O391=0,TEXT(INDEX('Notes and sources'!$C$6:$D$6,1,'Start here'!$C$11)*100,"0")&amp;"p",IF(N391=0,TEXT(INDEX('Notes and sources'!$C$7:$D$7,1,'Start here'!$C$11)*100,"0")&amp;"p",TEXT(INDEX('Notes and sources'!$C$6:$D$6,1,'Start here'!$C$11)*100,"0")&amp;"p/"&amp;TEXT(INDEX('Notes and sources'!$C$7:$D$7,1,'Start here'!$C$11)*100,"0")&amp;"p")),IF(H391="Motorcycle",TEXT(INDEX('Notes and sources'!$C$8:$D$8,1,'Start here'!$C$11)*100,"0")&amp;"p",IF(H391="Bicycle",TEXT(INDEX('Notes and sources'!$C$9:$D$9,1,'Start here'!$C$11)*100,"0")&amp;"p",""))))</f>
        <v/>
      </c>
      <c r="K391" s="26" t="str">
        <f aca="false">IF(F391="","",ROUND(IF(H391="Car or van",N391*INDEX('Notes and sources'!$C$6:$D$6,1,'Start here'!$C$11)+O391*INDEX('Notes and sources'!$C$7:$D$7,1,'Start here'!$C$11)+N(G391)*N(F391)*INDEX('Notes and sources'!$C$10:$D$10,1,'Start here'!$C$11),IF(H391="Motorcycle",N(F391)*INDEX('Notes and sources'!$C$8:$D$8,1,'Start here'!$C$11),IF(H391="Bicycle",N(F391)*INDEX('Notes and sources'!$C$9:$D$9,1,'Start here'!$C$11),0))),2))</f>
        <v/>
      </c>
      <c r="L391" s="27"/>
      <c r="N391" s="2" t="n">
        <f aca="false">IF(I391="",0,MAX(0,MIN(N(F391),INDEX('Notes and sources'!$C$12:$D$12,1,'Start here'!$C$11)-(I391-N(F391)))))</f>
        <v>0</v>
      </c>
      <c r="O391" s="2" t="n">
        <f aca="false">IF(I391="",0,N(F391)-N391)</f>
        <v>0</v>
      </c>
      <c r="P391" s="2" t="str">
        <f aca="false">IF(A391="","",IF(AND(MONTH(A391)=4,DAY(A391)&lt;6),13,MOD(MONTH(A391)-4,12)+1))</f>
        <v/>
      </c>
    </row>
    <row r="392" customFormat="false" ht="15" hidden="false" customHeight="false" outlineLevel="0" collapsed="false">
      <c r="A392" s="21"/>
      <c r="B392" s="6"/>
      <c r="C392" s="6"/>
      <c r="D392" s="6"/>
      <c r="E392" s="6"/>
      <c r="F392" s="22"/>
      <c r="G392" s="23"/>
      <c r="H392" s="24" t="str">
        <f aca="false">IF(B392="","",IFERROR(INDEX('Start here'!$C$16:$C$20,MATCH(B392,'Start here'!$B$16:$B$20,0)),"Check vehicle"))</f>
        <v/>
      </c>
      <c r="I392" s="25" t="str">
        <f aca="false">IF(OR(F392="",H392&lt;&gt;"Car or van"),"",SUMIFS($F$6:F392,$H$6:H392,"Car or van"))</f>
        <v/>
      </c>
      <c r="J392" s="24" t="str">
        <f aca="false">IF(F392="","",IF(H392="Car or van",IF(O392=0,TEXT(INDEX('Notes and sources'!$C$6:$D$6,1,'Start here'!$C$11)*100,"0")&amp;"p",IF(N392=0,TEXT(INDEX('Notes and sources'!$C$7:$D$7,1,'Start here'!$C$11)*100,"0")&amp;"p",TEXT(INDEX('Notes and sources'!$C$6:$D$6,1,'Start here'!$C$11)*100,"0")&amp;"p/"&amp;TEXT(INDEX('Notes and sources'!$C$7:$D$7,1,'Start here'!$C$11)*100,"0")&amp;"p")),IF(H392="Motorcycle",TEXT(INDEX('Notes and sources'!$C$8:$D$8,1,'Start here'!$C$11)*100,"0")&amp;"p",IF(H392="Bicycle",TEXT(INDEX('Notes and sources'!$C$9:$D$9,1,'Start here'!$C$11)*100,"0")&amp;"p",""))))</f>
        <v/>
      </c>
      <c r="K392" s="26" t="str">
        <f aca="false">IF(F392="","",ROUND(IF(H392="Car or van",N392*INDEX('Notes and sources'!$C$6:$D$6,1,'Start here'!$C$11)+O392*INDEX('Notes and sources'!$C$7:$D$7,1,'Start here'!$C$11)+N(G392)*N(F392)*INDEX('Notes and sources'!$C$10:$D$10,1,'Start here'!$C$11),IF(H392="Motorcycle",N(F392)*INDEX('Notes and sources'!$C$8:$D$8,1,'Start here'!$C$11),IF(H392="Bicycle",N(F392)*INDEX('Notes and sources'!$C$9:$D$9,1,'Start here'!$C$11),0))),2))</f>
        <v/>
      </c>
      <c r="L392" s="27"/>
      <c r="N392" s="2" t="n">
        <f aca="false">IF(I392="",0,MAX(0,MIN(N(F392),INDEX('Notes and sources'!$C$12:$D$12,1,'Start here'!$C$11)-(I392-N(F392)))))</f>
        <v>0</v>
      </c>
      <c r="O392" s="2" t="n">
        <f aca="false">IF(I392="",0,N(F392)-N392)</f>
        <v>0</v>
      </c>
      <c r="P392" s="2" t="str">
        <f aca="false">IF(A392="","",IF(AND(MONTH(A392)=4,DAY(A392)&lt;6),13,MOD(MONTH(A392)-4,12)+1))</f>
        <v/>
      </c>
    </row>
    <row r="393" customFormat="false" ht="15" hidden="false" customHeight="false" outlineLevel="0" collapsed="false">
      <c r="A393" s="21"/>
      <c r="B393" s="6"/>
      <c r="C393" s="6"/>
      <c r="D393" s="6"/>
      <c r="E393" s="6"/>
      <c r="F393" s="22"/>
      <c r="G393" s="23"/>
      <c r="H393" s="24" t="str">
        <f aca="false">IF(B393="","",IFERROR(INDEX('Start here'!$C$16:$C$20,MATCH(B393,'Start here'!$B$16:$B$20,0)),"Check vehicle"))</f>
        <v/>
      </c>
      <c r="I393" s="25" t="str">
        <f aca="false">IF(OR(F393="",H393&lt;&gt;"Car or van"),"",SUMIFS($F$6:F393,$H$6:H393,"Car or van"))</f>
        <v/>
      </c>
      <c r="J393" s="24" t="str">
        <f aca="false">IF(F393="","",IF(H393="Car or van",IF(O393=0,TEXT(INDEX('Notes and sources'!$C$6:$D$6,1,'Start here'!$C$11)*100,"0")&amp;"p",IF(N393=0,TEXT(INDEX('Notes and sources'!$C$7:$D$7,1,'Start here'!$C$11)*100,"0")&amp;"p",TEXT(INDEX('Notes and sources'!$C$6:$D$6,1,'Start here'!$C$11)*100,"0")&amp;"p/"&amp;TEXT(INDEX('Notes and sources'!$C$7:$D$7,1,'Start here'!$C$11)*100,"0")&amp;"p")),IF(H393="Motorcycle",TEXT(INDEX('Notes and sources'!$C$8:$D$8,1,'Start here'!$C$11)*100,"0")&amp;"p",IF(H393="Bicycle",TEXT(INDEX('Notes and sources'!$C$9:$D$9,1,'Start here'!$C$11)*100,"0")&amp;"p",""))))</f>
        <v/>
      </c>
      <c r="K393" s="26" t="str">
        <f aca="false">IF(F393="","",ROUND(IF(H393="Car or van",N393*INDEX('Notes and sources'!$C$6:$D$6,1,'Start here'!$C$11)+O393*INDEX('Notes and sources'!$C$7:$D$7,1,'Start here'!$C$11)+N(G393)*N(F393)*INDEX('Notes and sources'!$C$10:$D$10,1,'Start here'!$C$11),IF(H393="Motorcycle",N(F393)*INDEX('Notes and sources'!$C$8:$D$8,1,'Start here'!$C$11),IF(H393="Bicycle",N(F393)*INDEX('Notes and sources'!$C$9:$D$9,1,'Start here'!$C$11),0))),2))</f>
        <v/>
      </c>
      <c r="L393" s="27"/>
      <c r="N393" s="2" t="n">
        <f aca="false">IF(I393="",0,MAX(0,MIN(N(F393),INDEX('Notes and sources'!$C$12:$D$12,1,'Start here'!$C$11)-(I393-N(F393)))))</f>
        <v>0</v>
      </c>
      <c r="O393" s="2" t="n">
        <f aca="false">IF(I393="",0,N(F393)-N393)</f>
        <v>0</v>
      </c>
      <c r="P393" s="2" t="str">
        <f aca="false">IF(A393="","",IF(AND(MONTH(A393)=4,DAY(A393)&lt;6),13,MOD(MONTH(A393)-4,12)+1))</f>
        <v/>
      </c>
    </row>
    <row r="394" customFormat="false" ht="15" hidden="false" customHeight="false" outlineLevel="0" collapsed="false">
      <c r="A394" s="21"/>
      <c r="B394" s="6"/>
      <c r="C394" s="6"/>
      <c r="D394" s="6"/>
      <c r="E394" s="6"/>
      <c r="F394" s="22"/>
      <c r="G394" s="23"/>
      <c r="H394" s="24" t="str">
        <f aca="false">IF(B394="","",IFERROR(INDEX('Start here'!$C$16:$C$20,MATCH(B394,'Start here'!$B$16:$B$20,0)),"Check vehicle"))</f>
        <v/>
      </c>
      <c r="I394" s="25" t="str">
        <f aca="false">IF(OR(F394="",H394&lt;&gt;"Car or van"),"",SUMIFS($F$6:F394,$H$6:H394,"Car or van"))</f>
        <v/>
      </c>
      <c r="J394" s="24" t="str">
        <f aca="false">IF(F394="","",IF(H394="Car or van",IF(O394=0,TEXT(INDEX('Notes and sources'!$C$6:$D$6,1,'Start here'!$C$11)*100,"0")&amp;"p",IF(N394=0,TEXT(INDEX('Notes and sources'!$C$7:$D$7,1,'Start here'!$C$11)*100,"0")&amp;"p",TEXT(INDEX('Notes and sources'!$C$6:$D$6,1,'Start here'!$C$11)*100,"0")&amp;"p/"&amp;TEXT(INDEX('Notes and sources'!$C$7:$D$7,1,'Start here'!$C$11)*100,"0")&amp;"p")),IF(H394="Motorcycle",TEXT(INDEX('Notes and sources'!$C$8:$D$8,1,'Start here'!$C$11)*100,"0")&amp;"p",IF(H394="Bicycle",TEXT(INDEX('Notes and sources'!$C$9:$D$9,1,'Start here'!$C$11)*100,"0")&amp;"p",""))))</f>
        <v/>
      </c>
      <c r="K394" s="26" t="str">
        <f aca="false">IF(F394="","",ROUND(IF(H394="Car or van",N394*INDEX('Notes and sources'!$C$6:$D$6,1,'Start here'!$C$11)+O394*INDEX('Notes and sources'!$C$7:$D$7,1,'Start here'!$C$11)+N(G394)*N(F394)*INDEX('Notes and sources'!$C$10:$D$10,1,'Start here'!$C$11),IF(H394="Motorcycle",N(F394)*INDEX('Notes and sources'!$C$8:$D$8,1,'Start here'!$C$11),IF(H394="Bicycle",N(F394)*INDEX('Notes and sources'!$C$9:$D$9,1,'Start here'!$C$11),0))),2))</f>
        <v/>
      </c>
      <c r="L394" s="27"/>
      <c r="N394" s="2" t="n">
        <f aca="false">IF(I394="",0,MAX(0,MIN(N(F394),INDEX('Notes and sources'!$C$12:$D$12,1,'Start here'!$C$11)-(I394-N(F394)))))</f>
        <v>0</v>
      </c>
      <c r="O394" s="2" t="n">
        <f aca="false">IF(I394="",0,N(F394)-N394)</f>
        <v>0</v>
      </c>
      <c r="P394" s="2" t="str">
        <f aca="false">IF(A394="","",IF(AND(MONTH(A394)=4,DAY(A394)&lt;6),13,MOD(MONTH(A394)-4,12)+1))</f>
        <v/>
      </c>
    </row>
    <row r="395" customFormat="false" ht="15" hidden="false" customHeight="false" outlineLevel="0" collapsed="false">
      <c r="A395" s="21"/>
      <c r="B395" s="6"/>
      <c r="C395" s="6"/>
      <c r="D395" s="6"/>
      <c r="E395" s="6"/>
      <c r="F395" s="22"/>
      <c r="G395" s="23"/>
      <c r="H395" s="24" t="str">
        <f aca="false">IF(B395="","",IFERROR(INDEX('Start here'!$C$16:$C$20,MATCH(B395,'Start here'!$B$16:$B$20,0)),"Check vehicle"))</f>
        <v/>
      </c>
      <c r="I395" s="25" t="str">
        <f aca="false">IF(OR(F395="",H395&lt;&gt;"Car or van"),"",SUMIFS($F$6:F395,$H$6:H395,"Car or van"))</f>
        <v/>
      </c>
      <c r="J395" s="24" t="str">
        <f aca="false">IF(F395="","",IF(H395="Car or van",IF(O395=0,TEXT(INDEX('Notes and sources'!$C$6:$D$6,1,'Start here'!$C$11)*100,"0")&amp;"p",IF(N395=0,TEXT(INDEX('Notes and sources'!$C$7:$D$7,1,'Start here'!$C$11)*100,"0")&amp;"p",TEXT(INDEX('Notes and sources'!$C$6:$D$6,1,'Start here'!$C$11)*100,"0")&amp;"p/"&amp;TEXT(INDEX('Notes and sources'!$C$7:$D$7,1,'Start here'!$C$11)*100,"0")&amp;"p")),IF(H395="Motorcycle",TEXT(INDEX('Notes and sources'!$C$8:$D$8,1,'Start here'!$C$11)*100,"0")&amp;"p",IF(H395="Bicycle",TEXT(INDEX('Notes and sources'!$C$9:$D$9,1,'Start here'!$C$11)*100,"0")&amp;"p",""))))</f>
        <v/>
      </c>
      <c r="K395" s="26" t="str">
        <f aca="false">IF(F395="","",ROUND(IF(H395="Car or van",N395*INDEX('Notes and sources'!$C$6:$D$6,1,'Start here'!$C$11)+O395*INDEX('Notes and sources'!$C$7:$D$7,1,'Start here'!$C$11)+N(G395)*N(F395)*INDEX('Notes and sources'!$C$10:$D$10,1,'Start here'!$C$11),IF(H395="Motorcycle",N(F395)*INDEX('Notes and sources'!$C$8:$D$8,1,'Start here'!$C$11),IF(H395="Bicycle",N(F395)*INDEX('Notes and sources'!$C$9:$D$9,1,'Start here'!$C$11),0))),2))</f>
        <v/>
      </c>
      <c r="L395" s="27"/>
      <c r="N395" s="2" t="n">
        <f aca="false">IF(I395="",0,MAX(0,MIN(N(F395),INDEX('Notes and sources'!$C$12:$D$12,1,'Start here'!$C$11)-(I395-N(F395)))))</f>
        <v>0</v>
      </c>
      <c r="O395" s="2" t="n">
        <f aca="false">IF(I395="",0,N(F395)-N395)</f>
        <v>0</v>
      </c>
      <c r="P395" s="2" t="str">
        <f aca="false">IF(A395="","",IF(AND(MONTH(A395)=4,DAY(A395)&lt;6),13,MOD(MONTH(A395)-4,12)+1))</f>
        <v/>
      </c>
    </row>
    <row r="396" customFormat="false" ht="15" hidden="false" customHeight="false" outlineLevel="0" collapsed="false">
      <c r="A396" s="21"/>
      <c r="B396" s="6"/>
      <c r="C396" s="6"/>
      <c r="D396" s="6"/>
      <c r="E396" s="6"/>
      <c r="F396" s="22"/>
      <c r="G396" s="23"/>
      <c r="H396" s="24" t="str">
        <f aca="false">IF(B396="","",IFERROR(INDEX('Start here'!$C$16:$C$20,MATCH(B396,'Start here'!$B$16:$B$20,0)),"Check vehicle"))</f>
        <v/>
      </c>
      <c r="I396" s="25" t="str">
        <f aca="false">IF(OR(F396="",H396&lt;&gt;"Car or van"),"",SUMIFS($F$6:F396,$H$6:H396,"Car or van"))</f>
        <v/>
      </c>
      <c r="J396" s="24" t="str">
        <f aca="false">IF(F396="","",IF(H396="Car or van",IF(O396=0,TEXT(INDEX('Notes and sources'!$C$6:$D$6,1,'Start here'!$C$11)*100,"0")&amp;"p",IF(N396=0,TEXT(INDEX('Notes and sources'!$C$7:$D$7,1,'Start here'!$C$11)*100,"0")&amp;"p",TEXT(INDEX('Notes and sources'!$C$6:$D$6,1,'Start here'!$C$11)*100,"0")&amp;"p/"&amp;TEXT(INDEX('Notes and sources'!$C$7:$D$7,1,'Start here'!$C$11)*100,"0")&amp;"p")),IF(H396="Motorcycle",TEXT(INDEX('Notes and sources'!$C$8:$D$8,1,'Start here'!$C$11)*100,"0")&amp;"p",IF(H396="Bicycle",TEXT(INDEX('Notes and sources'!$C$9:$D$9,1,'Start here'!$C$11)*100,"0")&amp;"p",""))))</f>
        <v/>
      </c>
      <c r="K396" s="26" t="str">
        <f aca="false">IF(F396="","",ROUND(IF(H396="Car or van",N396*INDEX('Notes and sources'!$C$6:$D$6,1,'Start here'!$C$11)+O396*INDEX('Notes and sources'!$C$7:$D$7,1,'Start here'!$C$11)+N(G396)*N(F396)*INDEX('Notes and sources'!$C$10:$D$10,1,'Start here'!$C$11),IF(H396="Motorcycle",N(F396)*INDEX('Notes and sources'!$C$8:$D$8,1,'Start here'!$C$11),IF(H396="Bicycle",N(F396)*INDEX('Notes and sources'!$C$9:$D$9,1,'Start here'!$C$11),0))),2))</f>
        <v/>
      </c>
      <c r="L396" s="27"/>
      <c r="N396" s="2" t="n">
        <f aca="false">IF(I396="",0,MAX(0,MIN(N(F396),INDEX('Notes and sources'!$C$12:$D$12,1,'Start here'!$C$11)-(I396-N(F396)))))</f>
        <v>0</v>
      </c>
      <c r="O396" s="2" t="n">
        <f aca="false">IF(I396="",0,N(F396)-N396)</f>
        <v>0</v>
      </c>
      <c r="P396" s="2" t="str">
        <f aca="false">IF(A396="","",IF(AND(MONTH(A396)=4,DAY(A396)&lt;6),13,MOD(MONTH(A396)-4,12)+1))</f>
        <v/>
      </c>
    </row>
    <row r="397" customFormat="false" ht="15" hidden="false" customHeight="false" outlineLevel="0" collapsed="false">
      <c r="A397" s="21"/>
      <c r="B397" s="6"/>
      <c r="C397" s="6"/>
      <c r="D397" s="6"/>
      <c r="E397" s="6"/>
      <c r="F397" s="22"/>
      <c r="G397" s="23"/>
      <c r="H397" s="24" t="str">
        <f aca="false">IF(B397="","",IFERROR(INDEX('Start here'!$C$16:$C$20,MATCH(B397,'Start here'!$B$16:$B$20,0)),"Check vehicle"))</f>
        <v/>
      </c>
      <c r="I397" s="25" t="str">
        <f aca="false">IF(OR(F397="",H397&lt;&gt;"Car or van"),"",SUMIFS($F$6:F397,$H$6:H397,"Car or van"))</f>
        <v/>
      </c>
      <c r="J397" s="24" t="str">
        <f aca="false">IF(F397="","",IF(H397="Car or van",IF(O397=0,TEXT(INDEX('Notes and sources'!$C$6:$D$6,1,'Start here'!$C$11)*100,"0")&amp;"p",IF(N397=0,TEXT(INDEX('Notes and sources'!$C$7:$D$7,1,'Start here'!$C$11)*100,"0")&amp;"p",TEXT(INDEX('Notes and sources'!$C$6:$D$6,1,'Start here'!$C$11)*100,"0")&amp;"p/"&amp;TEXT(INDEX('Notes and sources'!$C$7:$D$7,1,'Start here'!$C$11)*100,"0")&amp;"p")),IF(H397="Motorcycle",TEXT(INDEX('Notes and sources'!$C$8:$D$8,1,'Start here'!$C$11)*100,"0")&amp;"p",IF(H397="Bicycle",TEXT(INDEX('Notes and sources'!$C$9:$D$9,1,'Start here'!$C$11)*100,"0")&amp;"p",""))))</f>
        <v/>
      </c>
      <c r="K397" s="26" t="str">
        <f aca="false">IF(F397="","",ROUND(IF(H397="Car or van",N397*INDEX('Notes and sources'!$C$6:$D$6,1,'Start here'!$C$11)+O397*INDEX('Notes and sources'!$C$7:$D$7,1,'Start here'!$C$11)+N(G397)*N(F397)*INDEX('Notes and sources'!$C$10:$D$10,1,'Start here'!$C$11),IF(H397="Motorcycle",N(F397)*INDEX('Notes and sources'!$C$8:$D$8,1,'Start here'!$C$11),IF(H397="Bicycle",N(F397)*INDEX('Notes and sources'!$C$9:$D$9,1,'Start here'!$C$11),0))),2))</f>
        <v/>
      </c>
      <c r="L397" s="27"/>
      <c r="N397" s="2" t="n">
        <f aca="false">IF(I397="",0,MAX(0,MIN(N(F397),INDEX('Notes and sources'!$C$12:$D$12,1,'Start here'!$C$11)-(I397-N(F397)))))</f>
        <v>0</v>
      </c>
      <c r="O397" s="2" t="n">
        <f aca="false">IF(I397="",0,N(F397)-N397)</f>
        <v>0</v>
      </c>
      <c r="P397" s="2" t="str">
        <f aca="false">IF(A397="","",IF(AND(MONTH(A397)=4,DAY(A397)&lt;6),13,MOD(MONTH(A397)-4,12)+1))</f>
        <v/>
      </c>
    </row>
    <row r="398" customFormat="false" ht="15" hidden="false" customHeight="false" outlineLevel="0" collapsed="false">
      <c r="A398" s="21"/>
      <c r="B398" s="6"/>
      <c r="C398" s="6"/>
      <c r="D398" s="6"/>
      <c r="E398" s="6"/>
      <c r="F398" s="22"/>
      <c r="G398" s="23"/>
      <c r="H398" s="24" t="str">
        <f aca="false">IF(B398="","",IFERROR(INDEX('Start here'!$C$16:$C$20,MATCH(B398,'Start here'!$B$16:$B$20,0)),"Check vehicle"))</f>
        <v/>
      </c>
      <c r="I398" s="25" t="str">
        <f aca="false">IF(OR(F398="",H398&lt;&gt;"Car or van"),"",SUMIFS($F$6:F398,$H$6:H398,"Car or van"))</f>
        <v/>
      </c>
      <c r="J398" s="24" t="str">
        <f aca="false">IF(F398="","",IF(H398="Car or van",IF(O398=0,TEXT(INDEX('Notes and sources'!$C$6:$D$6,1,'Start here'!$C$11)*100,"0")&amp;"p",IF(N398=0,TEXT(INDEX('Notes and sources'!$C$7:$D$7,1,'Start here'!$C$11)*100,"0")&amp;"p",TEXT(INDEX('Notes and sources'!$C$6:$D$6,1,'Start here'!$C$11)*100,"0")&amp;"p/"&amp;TEXT(INDEX('Notes and sources'!$C$7:$D$7,1,'Start here'!$C$11)*100,"0")&amp;"p")),IF(H398="Motorcycle",TEXT(INDEX('Notes and sources'!$C$8:$D$8,1,'Start here'!$C$11)*100,"0")&amp;"p",IF(H398="Bicycle",TEXT(INDEX('Notes and sources'!$C$9:$D$9,1,'Start here'!$C$11)*100,"0")&amp;"p",""))))</f>
        <v/>
      </c>
      <c r="K398" s="26" t="str">
        <f aca="false">IF(F398="","",ROUND(IF(H398="Car or van",N398*INDEX('Notes and sources'!$C$6:$D$6,1,'Start here'!$C$11)+O398*INDEX('Notes and sources'!$C$7:$D$7,1,'Start here'!$C$11)+N(G398)*N(F398)*INDEX('Notes and sources'!$C$10:$D$10,1,'Start here'!$C$11),IF(H398="Motorcycle",N(F398)*INDEX('Notes and sources'!$C$8:$D$8,1,'Start here'!$C$11),IF(H398="Bicycle",N(F398)*INDEX('Notes and sources'!$C$9:$D$9,1,'Start here'!$C$11),0))),2))</f>
        <v/>
      </c>
      <c r="L398" s="27"/>
      <c r="N398" s="2" t="n">
        <f aca="false">IF(I398="",0,MAX(0,MIN(N(F398),INDEX('Notes and sources'!$C$12:$D$12,1,'Start here'!$C$11)-(I398-N(F398)))))</f>
        <v>0</v>
      </c>
      <c r="O398" s="2" t="n">
        <f aca="false">IF(I398="",0,N(F398)-N398)</f>
        <v>0</v>
      </c>
      <c r="P398" s="2" t="str">
        <f aca="false">IF(A398="","",IF(AND(MONTH(A398)=4,DAY(A398)&lt;6),13,MOD(MONTH(A398)-4,12)+1))</f>
        <v/>
      </c>
    </row>
    <row r="399" customFormat="false" ht="15" hidden="false" customHeight="false" outlineLevel="0" collapsed="false">
      <c r="A399" s="21"/>
      <c r="B399" s="6"/>
      <c r="C399" s="6"/>
      <c r="D399" s="6"/>
      <c r="E399" s="6"/>
      <c r="F399" s="22"/>
      <c r="G399" s="23"/>
      <c r="H399" s="24" t="str">
        <f aca="false">IF(B399="","",IFERROR(INDEX('Start here'!$C$16:$C$20,MATCH(B399,'Start here'!$B$16:$B$20,0)),"Check vehicle"))</f>
        <v/>
      </c>
      <c r="I399" s="25" t="str">
        <f aca="false">IF(OR(F399="",H399&lt;&gt;"Car or van"),"",SUMIFS($F$6:F399,$H$6:H399,"Car or van"))</f>
        <v/>
      </c>
      <c r="J399" s="24" t="str">
        <f aca="false">IF(F399="","",IF(H399="Car or van",IF(O399=0,TEXT(INDEX('Notes and sources'!$C$6:$D$6,1,'Start here'!$C$11)*100,"0")&amp;"p",IF(N399=0,TEXT(INDEX('Notes and sources'!$C$7:$D$7,1,'Start here'!$C$11)*100,"0")&amp;"p",TEXT(INDEX('Notes and sources'!$C$6:$D$6,1,'Start here'!$C$11)*100,"0")&amp;"p/"&amp;TEXT(INDEX('Notes and sources'!$C$7:$D$7,1,'Start here'!$C$11)*100,"0")&amp;"p")),IF(H399="Motorcycle",TEXT(INDEX('Notes and sources'!$C$8:$D$8,1,'Start here'!$C$11)*100,"0")&amp;"p",IF(H399="Bicycle",TEXT(INDEX('Notes and sources'!$C$9:$D$9,1,'Start here'!$C$11)*100,"0")&amp;"p",""))))</f>
        <v/>
      </c>
      <c r="K399" s="26" t="str">
        <f aca="false">IF(F399="","",ROUND(IF(H399="Car or van",N399*INDEX('Notes and sources'!$C$6:$D$6,1,'Start here'!$C$11)+O399*INDEX('Notes and sources'!$C$7:$D$7,1,'Start here'!$C$11)+N(G399)*N(F399)*INDEX('Notes and sources'!$C$10:$D$10,1,'Start here'!$C$11),IF(H399="Motorcycle",N(F399)*INDEX('Notes and sources'!$C$8:$D$8,1,'Start here'!$C$11),IF(H399="Bicycle",N(F399)*INDEX('Notes and sources'!$C$9:$D$9,1,'Start here'!$C$11),0))),2))</f>
        <v/>
      </c>
      <c r="L399" s="27"/>
      <c r="N399" s="2" t="n">
        <f aca="false">IF(I399="",0,MAX(0,MIN(N(F399),INDEX('Notes and sources'!$C$12:$D$12,1,'Start here'!$C$11)-(I399-N(F399)))))</f>
        <v>0</v>
      </c>
      <c r="O399" s="2" t="n">
        <f aca="false">IF(I399="",0,N(F399)-N399)</f>
        <v>0</v>
      </c>
      <c r="P399" s="2" t="str">
        <f aca="false">IF(A399="","",IF(AND(MONTH(A399)=4,DAY(A399)&lt;6),13,MOD(MONTH(A399)-4,12)+1))</f>
        <v/>
      </c>
    </row>
    <row r="400" customFormat="false" ht="15" hidden="false" customHeight="false" outlineLevel="0" collapsed="false">
      <c r="A400" s="21"/>
      <c r="B400" s="6"/>
      <c r="C400" s="6"/>
      <c r="D400" s="6"/>
      <c r="E400" s="6"/>
      <c r="F400" s="22"/>
      <c r="G400" s="23"/>
      <c r="H400" s="24" t="str">
        <f aca="false">IF(B400="","",IFERROR(INDEX('Start here'!$C$16:$C$20,MATCH(B400,'Start here'!$B$16:$B$20,0)),"Check vehicle"))</f>
        <v/>
      </c>
      <c r="I400" s="25" t="str">
        <f aca="false">IF(OR(F400="",H400&lt;&gt;"Car or van"),"",SUMIFS($F$6:F400,$H$6:H400,"Car or van"))</f>
        <v/>
      </c>
      <c r="J400" s="24" t="str">
        <f aca="false">IF(F400="","",IF(H400="Car or van",IF(O400=0,TEXT(INDEX('Notes and sources'!$C$6:$D$6,1,'Start here'!$C$11)*100,"0")&amp;"p",IF(N400=0,TEXT(INDEX('Notes and sources'!$C$7:$D$7,1,'Start here'!$C$11)*100,"0")&amp;"p",TEXT(INDEX('Notes and sources'!$C$6:$D$6,1,'Start here'!$C$11)*100,"0")&amp;"p/"&amp;TEXT(INDEX('Notes and sources'!$C$7:$D$7,1,'Start here'!$C$11)*100,"0")&amp;"p")),IF(H400="Motorcycle",TEXT(INDEX('Notes and sources'!$C$8:$D$8,1,'Start here'!$C$11)*100,"0")&amp;"p",IF(H400="Bicycle",TEXT(INDEX('Notes and sources'!$C$9:$D$9,1,'Start here'!$C$11)*100,"0")&amp;"p",""))))</f>
        <v/>
      </c>
      <c r="K400" s="26" t="str">
        <f aca="false">IF(F400="","",ROUND(IF(H400="Car or van",N400*INDEX('Notes and sources'!$C$6:$D$6,1,'Start here'!$C$11)+O400*INDEX('Notes and sources'!$C$7:$D$7,1,'Start here'!$C$11)+N(G400)*N(F400)*INDEX('Notes and sources'!$C$10:$D$10,1,'Start here'!$C$11),IF(H400="Motorcycle",N(F400)*INDEX('Notes and sources'!$C$8:$D$8,1,'Start here'!$C$11),IF(H400="Bicycle",N(F400)*INDEX('Notes and sources'!$C$9:$D$9,1,'Start here'!$C$11),0))),2))</f>
        <v/>
      </c>
      <c r="L400" s="27"/>
      <c r="N400" s="2" t="n">
        <f aca="false">IF(I400="",0,MAX(0,MIN(N(F400),INDEX('Notes and sources'!$C$12:$D$12,1,'Start here'!$C$11)-(I400-N(F400)))))</f>
        <v>0</v>
      </c>
      <c r="O400" s="2" t="n">
        <f aca="false">IF(I400="",0,N(F400)-N400)</f>
        <v>0</v>
      </c>
      <c r="P400" s="2" t="str">
        <f aca="false">IF(A400="","",IF(AND(MONTH(A400)=4,DAY(A400)&lt;6),13,MOD(MONTH(A400)-4,12)+1))</f>
        <v/>
      </c>
    </row>
    <row r="401" customFormat="false" ht="15" hidden="false" customHeight="false" outlineLevel="0" collapsed="false">
      <c r="A401" s="21"/>
      <c r="B401" s="6"/>
      <c r="C401" s="6"/>
      <c r="D401" s="6"/>
      <c r="E401" s="6"/>
      <c r="F401" s="22"/>
      <c r="G401" s="23"/>
      <c r="H401" s="24" t="str">
        <f aca="false">IF(B401="","",IFERROR(INDEX('Start here'!$C$16:$C$20,MATCH(B401,'Start here'!$B$16:$B$20,0)),"Check vehicle"))</f>
        <v/>
      </c>
      <c r="I401" s="25" t="str">
        <f aca="false">IF(OR(F401="",H401&lt;&gt;"Car or van"),"",SUMIFS($F$6:F401,$H$6:H401,"Car or van"))</f>
        <v/>
      </c>
      <c r="J401" s="24" t="str">
        <f aca="false">IF(F401="","",IF(H401="Car or van",IF(O401=0,TEXT(INDEX('Notes and sources'!$C$6:$D$6,1,'Start here'!$C$11)*100,"0")&amp;"p",IF(N401=0,TEXT(INDEX('Notes and sources'!$C$7:$D$7,1,'Start here'!$C$11)*100,"0")&amp;"p",TEXT(INDEX('Notes and sources'!$C$6:$D$6,1,'Start here'!$C$11)*100,"0")&amp;"p/"&amp;TEXT(INDEX('Notes and sources'!$C$7:$D$7,1,'Start here'!$C$11)*100,"0")&amp;"p")),IF(H401="Motorcycle",TEXT(INDEX('Notes and sources'!$C$8:$D$8,1,'Start here'!$C$11)*100,"0")&amp;"p",IF(H401="Bicycle",TEXT(INDEX('Notes and sources'!$C$9:$D$9,1,'Start here'!$C$11)*100,"0")&amp;"p",""))))</f>
        <v/>
      </c>
      <c r="K401" s="26" t="str">
        <f aca="false">IF(F401="","",ROUND(IF(H401="Car or van",N401*INDEX('Notes and sources'!$C$6:$D$6,1,'Start here'!$C$11)+O401*INDEX('Notes and sources'!$C$7:$D$7,1,'Start here'!$C$11)+N(G401)*N(F401)*INDEX('Notes and sources'!$C$10:$D$10,1,'Start here'!$C$11),IF(H401="Motorcycle",N(F401)*INDEX('Notes and sources'!$C$8:$D$8,1,'Start here'!$C$11),IF(H401="Bicycle",N(F401)*INDEX('Notes and sources'!$C$9:$D$9,1,'Start here'!$C$11),0))),2))</f>
        <v/>
      </c>
      <c r="L401" s="27"/>
      <c r="N401" s="2" t="n">
        <f aca="false">IF(I401="",0,MAX(0,MIN(N(F401),INDEX('Notes and sources'!$C$12:$D$12,1,'Start here'!$C$11)-(I401-N(F401)))))</f>
        <v>0</v>
      </c>
      <c r="O401" s="2" t="n">
        <f aca="false">IF(I401="",0,N(F401)-N401)</f>
        <v>0</v>
      </c>
      <c r="P401" s="2" t="str">
        <f aca="false">IF(A401="","",IF(AND(MONTH(A401)=4,DAY(A401)&lt;6),13,MOD(MONTH(A401)-4,12)+1))</f>
        <v/>
      </c>
    </row>
    <row r="402" customFormat="false" ht="15" hidden="false" customHeight="false" outlineLevel="0" collapsed="false">
      <c r="A402" s="21"/>
      <c r="B402" s="6"/>
      <c r="C402" s="6"/>
      <c r="D402" s="6"/>
      <c r="E402" s="6"/>
      <c r="F402" s="22"/>
      <c r="G402" s="23"/>
      <c r="H402" s="24" t="str">
        <f aca="false">IF(B402="","",IFERROR(INDEX('Start here'!$C$16:$C$20,MATCH(B402,'Start here'!$B$16:$B$20,0)),"Check vehicle"))</f>
        <v/>
      </c>
      <c r="I402" s="25" t="str">
        <f aca="false">IF(OR(F402="",H402&lt;&gt;"Car or van"),"",SUMIFS($F$6:F402,$H$6:H402,"Car or van"))</f>
        <v/>
      </c>
      <c r="J402" s="24" t="str">
        <f aca="false">IF(F402="","",IF(H402="Car or van",IF(O402=0,TEXT(INDEX('Notes and sources'!$C$6:$D$6,1,'Start here'!$C$11)*100,"0")&amp;"p",IF(N402=0,TEXT(INDEX('Notes and sources'!$C$7:$D$7,1,'Start here'!$C$11)*100,"0")&amp;"p",TEXT(INDEX('Notes and sources'!$C$6:$D$6,1,'Start here'!$C$11)*100,"0")&amp;"p/"&amp;TEXT(INDEX('Notes and sources'!$C$7:$D$7,1,'Start here'!$C$11)*100,"0")&amp;"p")),IF(H402="Motorcycle",TEXT(INDEX('Notes and sources'!$C$8:$D$8,1,'Start here'!$C$11)*100,"0")&amp;"p",IF(H402="Bicycle",TEXT(INDEX('Notes and sources'!$C$9:$D$9,1,'Start here'!$C$11)*100,"0")&amp;"p",""))))</f>
        <v/>
      </c>
      <c r="K402" s="26" t="str">
        <f aca="false">IF(F402="","",ROUND(IF(H402="Car or van",N402*INDEX('Notes and sources'!$C$6:$D$6,1,'Start here'!$C$11)+O402*INDEX('Notes and sources'!$C$7:$D$7,1,'Start here'!$C$11)+N(G402)*N(F402)*INDEX('Notes and sources'!$C$10:$D$10,1,'Start here'!$C$11),IF(H402="Motorcycle",N(F402)*INDEX('Notes and sources'!$C$8:$D$8,1,'Start here'!$C$11),IF(H402="Bicycle",N(F402)*INDEX('Notes and sources'!$C$9:$D$9,1,'Start here'!$C$11),0))),2))</f>
        <v/>
      </c>
      <c r="L402" s="27"/>
      <c r="N402" s="2" t="n">
        <f aca="false">IF(I402="",0,MAX(0,MIN(N(F402),INDEX('Notes and sources'!$C$12:$D$12,1,'Start here'!$C$11)-(I402-N(F402)))))</f>
        <v>0</v>
      </c>
      <c r="O402" s="2" t="n">
        <f aca="false">IF(I402="",0,N(F402)-N402)</f>
        <v>0</v>
      </c>
      <c r="P402" s="2" t="str">
        <f aca="false">IF(A402="","",IF(AND(MONTH(A402)=4,DAY(A402)&lt;6),13,MOD(MONTH(A402)-4,12)+1))</f>
        <v/>
      </c>
    </row>
    <row r="403" customFormat="false" ht="15" hidden="false" customHeight="false" outlineLevel="0" collapsed="false">
      <c r="A403" s="21"/>
      <c r="B403" s="6"/>
      <c r="C403" s="6"/>
      <c r="D403" s="6"/>
      <c r="E403" s="6"/>
      <c r="F403" s="22"/>
      <c r="G403" s="23"/>
      <c r="H403" s="24" t="str">
        <f aca="false">IF(B403="","",IFERROR(INDEX('Start here'!$C$16:$C$20,MATCH(B403,'Start here'!$B$16:$B$20,0)),"Check vehicle"))</f>
        <v/>
      </c>
      <c r="I403" s="25" t="str">
        <f aca="false">IF(OR(F403="",H403&lt;&gt;"Car or van"),"",SUMIFS($F$6:F403,$H$6:H403,"Car or van"))</f>
        <v/>
      </c>
      <c r="J403" s="24" t="str">
        <f aca="false">IF(F403="","",IF(H403="Car or van",IF(O403=0,TEXT(INDEX('Notes and sources'!$C$6:$D$6,1,'Start here'!$C$11)*100,"0")&amp;"p",IF(N403=0,TEXT(INDEX('Notes and sources'!$C$7:$D$7,1,'Start here'!$C$11)*100,"0")&amp;"p",TEXT(INDEX('Notes and sources'!$C$6:$D$6,1,'Start here'!$C$11)*100,"0")&amp;"p/"&amp;TEXT(INDEX('Notes and sources'!$C$7:$D$7,1,'Start here'!$C$11)*100,"0")&amp;"p")),IF(H403="Motorcycle",TEXT(INDEX('Notes and sources'!$C$8:$D$8,1,'Start here'!$C$11)*100,"0")&amp;"p",IF(H403="Bicycle",TEXT(INDEX('Notes and sources'!$C$9:$D$9,1,'Start here'!$C$11)*100,"0")&amp;"p",""))))</f>
        <v/>
      </c>
      <c r="K403" s="26" t="str">
        <f aca="false">IF(F403="","",ROUND(IF(H403="Car or van",N403*INDEX('Notes and sources'!$C$6:$D$6,1,'Start here'!$C$11)+O403*INDEX('Notes and sources'!$C$7:$D$7,1,'Start here'!$C$11)+N(G403)*N(F403)*INDEX('Notes and sources'!$C$10:$D$10,1,'Start here'!$C$11),IF(H403="Motorcycle",N(F403)*INDEX('Notes and sources'!$C$8:$D$8,1,'Start here'!$C$11),IF(H403="Bicycle",N(F403)*INDEX('Notes and sources'!$C$9:$D$9,1,'Start here'!$C$11),0))),2))</f>
        <v/>
      </c>
      <c r="L403" s="27"/>
      <c r="N403" s="2" t="n">
        <f aca="false">IF(I403="",0,MAX(0,MIN(N(F403),INDEX('Notes and sources'!$C$12:$D$12,1,'Start here'!$C$11)-(I403-N(F403)))))</f>
        <v>0</v>
      </c>
      <c r="O403" s="2" t="n">
        <f aca="false">IF(I403="",0,N(F403)-N403)</f>
        <v>0</v>
      </c>
      <c r="P403" s="2" t="str">
        <f aca="false">IF(A403="","",IF(AND(MONTH(A403)=4,DAY(A403)&lt;6),13,MOD(MONTH(A403)-4,12)+1))</f>
        <v/>
      </c>
    </row>
    <row r="404" customFormat="false" ht="15" hidden="false" customHeight="false" outlineLevel="0" collapsed="false">
      <c r="A404" s="21"/>
      <c r="B404" s="6"/>
      <c r="C404" s="6"/>
      <c r="D404" s="6"/>
      <c r="E404" s="6"/>
      <c r="F404" s="22"/>
      <c r="G404" s="23"/>
      <c r="H404" s="24" t="str">
        <f aca="false">IF(B404="","",IFERROR(INDEX('Start here'!$C$16:$C$20,MATCH(B404,'Start here'!$B$16:$B$20,0)),"Check vehicle"))</f>
        <v/>
      </c>
      <c r="I404" s="25" t="str">
        <f aca="false">IF(OR(F404="",H404&lt;&gt;"Car or van"),"",SUMIFS($F$6:F404,$H$6:H404,"Car or van"))</f>
        <v/>
      </c>
      <c r="J404" s="24" t="str">
        <f aca="false">IF(F404="","",IF(H404="Car or van",IF(O404=0,TEXT(INDEX('Notes and sources'!$C$6:$D$6,1,'Start here'!$C$11)*100,"0")&amp;"p",IF(N404=0,TEXT(INDEX('Notes and sources'!$C$7:$D$7,1,'Start here'!$C$11)*100,"0")&amp;"p",TEXT(INDEX('Notes and sources'!$C$6:$D$6,1,'Start here'!$C$11)*100,"0")&amp;"p/"&amp;TEXT(INDEX('Notes and sources'!$C$7:$D$7,1,'Start here'!$C$11)*100,"0")&amp;"p")),IF(H404="Motorcycle",TEXT(INDEX('Notes and sources'!$C$8:$D$8,1,'Start here'!$C$11)*100,"0")&amp;"p",IF(H404="Bicycle",TEXT(INDEX('Notes and sources'!$C$9:$D$9,1,'Start here'!$C$11)*100,"0")&amp;"p",""))))</f>
        <v/>
      </c>
      <c r="K404" s="26" t="str">
        <f aca="false">IF(F404="","",ROUND(IF(H404="Car or van",N404*INDEX('Notes and sources'!$C$6:$D$6,1,'Start here'!$C$11)+O404*INDEX('Notes and sources'!$C$7:$D$7,1,'Start here'!$C$11)+N(G404)*N(F404)*INDEX('Notes and sources'!$C$10:$D$10,1,'Start here'!$C$11),IF(H404="Motorcycle",N(F404)*INDEX('Notes and sources'!$C$8:$D$8,1,'Start here'!$C$11),IF(H404="Bicycle",N(F404)*INDEX('Notes and sources'!$C$9:$D$9,1,'Start here'!$C$11),0))),2))</f>
        <v/>
      </c>
      <c r="L404" s="27"/>
      <c r="N404" s="2" t="n">
        <f aca="false">IF(I404="",0,MAX(0,MIN(N(F404),INDEX('Notes and sources'!$C$12:$D$12,1,'Start here'!$C$11)-(I404-N(F404)))))</f>
        <v>0</v>
      </c>
      <c r="O404" s="2" t="n">
        <f aca="false">IF(I404="",0,N(F404)-N404)</f>
        <v>0</v>
      </c>
      <c r="P404" s="2" t="str">
        <f aca="false">IF(A404="","",IF(AND(MONTH(A404)=4,DAY(A404)&lt;6),13,MOD(MONTH(A404)-4,12)+1))</f>
        <v/>
      </c>
    </row>
    <row r="405" customFormat="false" ht="15" hidden="false" customHeight="false" outlineLevel="0" collapsed="false">
      <c r="A405" s="21"/>
      <c r="B405" s="6"/>
      <c r="C405" s="6"/>
      <c r="D405" s="6"/>
      <c r="E405" s="6"/>
      <c r="F405" s="22"/>
      <c r="G405" s="23"/>
      <c r="H405" s="24" t="str">
        <f aca="false">IF(B405="","",IFERROR(INDEX('Start here'!$C$16:$C$20,MATCH(B405,'Start here'!$B$16:$B$20,0)),"Check vehicle"))</f>
        <v/>
      </c>
      <c r="I405" s="25" t="str">
        <f aca="false">IF(OR(F405="",H405&lt;&gt;"Car or van"),"",SUMIFS($F$6:F405,$H$6:H405,"Car or van"))</f>
        <v/>
      </c>
      <c r="J405" s="24" t="str">
        <f aca="false">IF(F405="","",IF(H405="Car or van",IF(O405=0,TEXT(INDEX('Notes and sources'!$C$6:$D$6,1,'Start here'!$C$11)*100,"0")&amp;"p",IF(N405=0,TEXT(INDEX('Notes and sources'!$C$7:$D$7,1,'Start here'!$C$11)*100,"0")&amp;"p",TEXT(INDEX('Notes and sources'!$C$6:$D$6,1,'Start here'!$C$11)*100,"0")&amp;"p/"&amp;TEXT(INDEX('Notes and sources'!$C$7:$D$7,1,'Start here'!$C$11)*100,"0")&amp;"p")),IF(H405="Motorcycle",TEXT(INDEX('Notes and sources'!$C$8:$D$8,1,'Start here'!$C$11)*100,"0")&amp;"p",IF(H405="Bicycle",TEXT(INDEX('Notes and sources'!$C$9:$D$9,1,'Start here'!$C$11)*100,"0")&amp;"p",""))))</f>
        <v/>
      </c>
      <c r="K405" s="26" t="str">
        <f aca="false">IF(F405="","",ROUND(IF(H405="Car or van",N405*INDEX('Notes and sources'!$C$6:$D$6,1,'Start here'!$C$11)+O405*INDEX('Notes and sources'!$C$7:$D$7,1,'Start here'!$C$11)+N(G405)*N(F405)*INDEX('Notes and sources'!$C$10:$D$10,1,'Start here'!$C$11),IF(H405="Motorcycle",N(F405)*INDEX('Notes and sources'!$C$8:$D$8,1,'Start here'!$C$11),IF(H405="Bicycle",N(F405)*INDEX('Notes and sources'!$C$9:$D$9,1,'Start here'!$C$11),0))),2))</f>
        <v/>
      </c>
      <c r="L405" s="27"/>
      <c r="N405" s="2" t="n">
        <f aca="false">IF(I405="",0,MAX(0,MIN(N(F405),INDEX('Notes and sources'!$C$12:$D$12,1,'Start here'!$C$11)-(I405-N(F405)))))</f>
        <v>0</v>
      </c>
      <c r="O405" s="2" t="n">
        <f aca="false">IF(I405="",0,N(F405)-N405)</f>
        <v>0</v>
      </c>
      <c r="P405" s="2" t="str">
        <f aca="false">IF(A405="","",IF(AND(MONTH(A405)=4,DAY(A405)&lt;6),13,MOD(MONTH(A405)-4,12)+1))</f>
        <v/>
      </c>
    </row>
    <row r="406" customFormat="false" ht="15" hidden="false" customHeight="false" outlineLevel="0" collapsed="false">
      <c r="A406" s="21"/>
      <c r="B406" s="6"/>
      <c r="C406" s="6"/>
      <c r="D406" s="6"/>
      <c r="E406" s="6"/>
      <c r="F406" s="22"/>
      <c r="G406" s="23"/>
      <c r="H406" s="24" t="str">
        <f aca="false">IF(B406="","",IFERROR(INDEX('Start here'!$C$16:$C$20,MATCH(B406,'Start here'!$B$16:$B$20,0)),"Check vehicle"))</f>
        <v/>
      </c>
      <c r="I406" s="25" t="str">
        <f aca="false">IF(OR(F406="",H406&lt;&gt;"Car or van"),"",SUMIFS($F$6:F406,$H$6:H406,"Car or van"))</f>
        <v/>
      </c>
      <c r="J406" s="24" t="str">
        <f aca="false">IF(F406="","",IF(H406="Car or van",IF(O406=0,TEXT(INDEX('Notes and sources'!$C$6:$D$6,1,'Start here'!$C$11)*100,"0")&amp;"p",IF(N406=0,TEXT(INDEX('Notes and sources'!$C$7:$D$7,1,'Start here'!$C$11)*100,"0")&amp;"p",TEXT(INDEX('Notes and sources'!$C$6:$D$6,1,'Start here'!$C$11)*100,"0")&amp;"p/"&amp;TEXT(INDEX('Notes and sources'!$C$7:$D$7,1,'Start here'!$C$11)*100,"0")&amp;"p")),IF(H406="Motorcycle",TEXT(INDEX('Notes and sources'!$C$8:$D$8,1,'Start here'!$C$11)*100,"0")&amp;"p",IF(H406="Bicycle",TEXT(INDEX('Notes and sources'!$C$9:$D$9,1,'Start here'!$C$11)*100,"0")&amp;"p",""))))</f>
        <v/>
      </c>
      <c r="K406" s="26" t="str">
        <f aca="false">IF(F406="","",ROUND(IF(H406="Car or van",N406*INDEX('Notes and sources'!$C$6:$D$6,1,'Start here'!$C$11)+O406*INDEX('Notes and sources'!$C$7:$D$7,1,'Start here'!$C$11)+N(G406)*N(F406)*INDEX('Notes and sources'!$C$10:$D$10,1,'Start here'!$C$11),IF(H406="Motorcycle",N(F406)*INDEX('Notes and sources'!$C$8:$D$8,1,'Start here'!$C$11),IF(H406="Bicycle",N(F406)*INDEX('Notes and sources'!$C$9:$D$9,1,'Start here'!$C$11),0))),2))</f>
        <v/>
      </c>
      <c r="L406" s="27"/>
      <c r="N406" s="2" t="n">
        <f aca="false">IF(I406="",0,MAX(0,MIN(N(F406),INDEX('Notes and sources'!$C$12:$D$12,1,'Start here'!$C$11)-(I406-N(F406)))))</f>
        <v>0</v>
      </c>
      <c r="O406" s="2" t="n">
        <f aca="false">IF(I406="",0,N(F406)-N406)</f>
        <v>0</v>
      </c>
      <c r="P406" s="2" t="str">
        <f aca="false">IF(A406="","",IF(AND(MONTH(A406)=4,DAY(A406)&lt;6),13,MOD(MONTH(A406)-4,12)+1))</f>
        <v/>
      </c>
    </row>
    <row r="407" customFormat="false" ht="15" hidden="false" customHeight="false" outlineLevel="0" collapsed="false">
      <c r="A407" s="21"/>
      <c r="B407" s="6"/>
      <c r="C407" s="6"/>
      <c r="D407" s="6"/>
      <c r="E407" s="6"/>
      <c r="F407" s="22"/>
      <c r="G407" s="23"/>
      <c r="H407" s="24" t="str">
        <f aca="false">IF(B407="","",IFERROR(INDEX('Start here'!$C$16:$C$20,MATCH(B407,'Start here'!$B$16:$B$20,0)),"Check vehicle"))</f>
        <v/>
      </c>
      <c r="I407" s="25" t="str">
        <f aca="false">IF(OR(F407="",H407&lt;&gt;"Car or van"),"",SUMIFS($F$6:F407,$H$6:H407,"Car or van"))</f>
        <v/>
      </c>
      <c r="J407" s="24" t="str">
        <f aca="false">IF(F407="","",IF(H407="Car or van",IF(O407=0,TEXT(INDEX('Notes and sources'!$C$6:$D$6,1,'Start here'!$C$11)*100,"0")&amp;"p",IF(N407=0,TEXT(INDEX('Notes and sources'!$C$7:$D$7,1,'Start here'!$C$11)*100,"0")&amp;"p",TEXT(INDEX('Notes and sources'!$C$6:$D$6,1,'Start here'!$C$11)*100,"0")&amp;"p/"&amp;TEXT(INDEX('Notes and sources'!$C$7:$D$7,1,'Start here'!$C$11)*100,"0")&amp;"p")),IF(H407="Motorcycle",TEXT(INDEX('Notes and sources'!$C$8:$D$8,1,'Start here'!$C$11)*100,"0")&amp;"p",IF(H407="Bicycle",TEXT(INDEX('Notes and sources'!$C$9:$D$9,1,'Start here'!$C$11)*100,"0")&amp;"p",""))))</f>
        <v/>
      </c>
      <c r="K407" s="26" t="str">
        <f aca="false">IF(F407="","",ROUND(IF(H407="Car or van",N407*INDEX('Notes and sources'!$C$6:$D$6,1,'Start here'!$C$11)+O407*INDEX('Notes and sources'!$C$7:$D$7,1,'Start here'!$C$11)+N(G407)*N(F407)*INDEX('Notes and sources'!$C$10:$D$10,1,'Start here'!$C$11),IF(H407="Motorcycle",N(F407)*INDEX('Notes and sources'!$C$8:$D$8,1,'Start here'!$C$11),IF(H407="Bicycle",N(F407)*INDEX('Notes and sources'!$C$9:$D$9,1,'Start here'!$C$11),0))),2))</f>
        <v/>
      </c>
      <c r="L407" s="27"/>
      <c r="N407" s="2" t="n">
        <f aca="false">IF(I407="",0,MAX(0,MIN(N(F407),INDEX('Notes and sources'!$C$12:$D$12,1,'Start here'!$C$11)-(I407-N(F407)))))</f>
        <v>0</v>
      </c>
      <c r="O407" s="2" t="n">
        <f aca="false">IF(I407="",0,N(F407)-N407)</f>
        <v>0</v>
      </c>
      <c r="P407" s="2" t="str">
        <f aca="false">IF(A407="","",IF(AND(MONTH(A407)=4,DAY(A407)&lt;6),13,MOD(MONTH(A407)-4,12)+1))</f>
        <v/>
      </c>
    </row>
    <row r="408" customFormat="false" ht="15" hidden="false" customHeight="false" outlineLevel="0" collapsed="false">
      <c r="A408" s="21"/>
      <c r="B408" s="6"/>
      <c r="C408" s="6"/>
      <c r="D408" s="6"/>
      <c r="E408" s="6"/>
      <c r="F408" s="22"/>
      <c r="G408" s="23"/>
      <c r="H408" s="24" t="str">
        <f aca="false">IF(B408="","",IFERROR(INDEX('Start here'!$C$16:$C$20,MATCH(B408,'Start here'!$B$16:$B$20,0)),"Check vehicle"))</f>
        <v/>
      </c>
      <c r="I408" s="25" t="str">
        <f aca="false">IF(OR(F408="",H408&lt;&gt;"Car or van"),"",SUMIFS($F$6:F408,$H$6:H408,"Car or van"))</f>
        <v/>
      </c>
      <c r="J408" s="24" t="str">
        <f aca="false">IF(F408="","",IF(H408="Car or van",IF(O408=0,TEXT(INDEX('Notes and sources'!$C$6:$D$6,1,'Start here'!$C$11)*100,"0")&amp;"p",IF(N408=0,TEXT(INDEX('Notes and sources'!$C$7:$D$7,1,'Start here'!$C$11)*100,"0")&amp;"p",TEXT(INDEX('Notes and sources'!$C$6:$D$6,1,'Start here'!$C$11)*100,"0")&amp;"p/"&amp;TEXT(INDEX('Notes and sources'!$C$7:$D$7,1,'Start here'!$C$11)*100,"0")&amp;"p")),IF(H408="Motorcycle",TEXT(INDEX('Notes and sources'!$C$8:$D$8,1,'Start here'!$C$11)*100,"0")&amp;"p",IF(H408="Bicycle",TEXT(INDEX('Notes and sources'!$C$9:$D$9,1,'Start here'!$C$11)*100,"0")&amp;"p",""))))</f>
        <v/>
      </c>
      <c r="K408" s="26" t="str">
        <f aca="false">IF(F408="","",ROUND(IF(H408="Car or van",N408*INDEX('Notes and sources'!$C$6:$D$6,1,'Start here'!$C$11)+O408*INDEX('Notes and sources'!$C$7:$D$7,1,'Start here'!$C$11)+N(G408)*N(F408)*INDEX('Notes and sources'!$C$10:$D$10,1,'Start here'!$C$11),IF(H408="Motorcycle",N(F408)*INDEX('Notes and sources'!$C$8:$D$8,1,'Start here'!$C$11),IF(H408="Bicycle",N(F408)*INDEX('Notes and sources'!$C$9:$D$9,1,'Start here'!$C$11),0))),2))</f>
        <v/>
      </c>
      <c r="L408" s="27"/>
      <c r="N408" s="2" t="n">
        <f aca="false">IF(I408="",0,MAX(0,MIN(N(F408),INDEX('Notes and sources'!$C$12:$D$12,1,'Start here'!$C$11)-(I408-N(F408)))))</f>
        <v>0</v>
      </c>
      <c r="O408" s="2" t="n">
        <f aca="false">IF(I408="",0,N(F408)-N408)</f>
        <v>0</v>
      </c>
      <c r="P408" s="2" t="str">
        <f aca="false">IF(A408="","",IF(AND(MONTH(A408)=4,DAY(A408)&lt;6),13,MOD(MONTH(A408)-4,12)+1))</f>
        <v/>
      </c>
    </row>
    <row r="409" customFormat="false" ht="15" hidden="false" customHeight="false" outlineLevel="0" collapsed="false">
      <c r="A409" s="21"/>
      <c r="B409" s="6"/>
      <c r="C409" s="6"/>
      <c r="D409" s="6"/>
      <c r="E409" s="6"/>
      <c r="F409" s="22"/>
      <c r="G409" s="23"/>
      <c r="H409" s="24" t="str">
        <f aca="false">IF(B409="","",IFERROR(INDEX('Start here'!$C$16:$C$20,MATCH(B409,'Start here'!$B$16:$B$20,0)),"Check vehicle"))</f>
        <v/>
      </c>
      <c r="I409" s="25" t="str">
        <f aca="false">IF(OR(F409="",H409&lt;&gt;"Car or van"),"",SUMIFS($F$6:F409,$H$6:H409,"Car or van"))</f>
        <v/>
      </c>
      <c r="J409" s="24" t="str">
        <f aca="false">IF(F409="","",IF(H409="Car or van",IF(O409=0,TEXT(INDEX('Notes and sources'!$C$6:$D$6,1,'Start here'!$C$11)*100,"0")&amp;"p",IF(N409=0,TEXT(INDEX('Notes and sources'!$C$7:$D$7,1,'Start here'!$C$11)*100,"0")&amp;"p",TEXT(INDEX('Notes and sources'!$C$6:$D$6,1,'Start here'!$C$11)*100,"0")&amp;"p/"&amp;TEXT(INDEX('Notes and sources'!$C$7:$D$7,1,'Start here'!$C$11)*100,"0")&amp;"p")),IF(H409="Motorcycle",TEXT(INDEX('Notes and sources'!$C$8:$D$8,1,'Start here'!$C$11)*100,"0")&amp;"p",IF(H409="Bicycle",TEXT(INDEX('Notes and sources'!$C$9:$D$9,1,'Start here'!$C$11)*100,"0")&amp;"p",""))))</f>
        <v/>
      </c>
      <c r="K409" s="26" t="str">
        <f aca="false">IF(F409="","",ROUND(IF(H409="Car or van",N409*INDEX('Notes and sources'!$C$6:$D$6,1,'Start here'!$C$11)+O409*INDEX('Notes and sources'!$C$7:$D$7,1,'Start here'!$C$11)+N(G409)*N(F409)*INDEX('Notes and sources'!$C$10:$D$10,1,'Start here'!$C$11),IF(H409="Motorcycle",N(F409)*INDEX('Notes and sources'!$C$8:$D$8,1,'Start here'!$C$11),IF(H409="Bicycle",N(F409)*INDEX('Notes and sources'!$C$9:$D$9,1,'Start here'!$C$11),0))),2))</f>
        <v/>
      </c>
      <c r="L409" s="27"/>
      <c r="N409" s="2" t="n">
        <f aca="false">IF(I409="",0,MAX(0,MIN(N(F409),INDEX('Notes and sources'!$C$12:$D$12,1,'Start here'!$C$11)-(I409-N(F409)))))</f>
        <v>0</v>
      </c>
      <c r="O409" s="2" t="n">
        <f aca="false">IF(I409="",0,N(F409)-N409)</f>
        <v>0</v>
      </c>
      <c r="P409" s="2" t="str">
        <f aca="false">IF(A409="","",IF(AND(MONTH(A409)=4,DAY(A409)&lt;6),13,MOD(MONTH(A409)-4,12)+1))</f>
        <v/>
      </c>
    </row>
    <row r="410" customFormat="false" ht="15" hidden="false" customHeight="false" outlineLevel="0" collapsed="false">
      <c r="A410" s="21"/>
      <c r="B410" s="6"/>
      <c r="C410" s="6"/>
      <c r="D410" s="6"/>
      <c r="E410" s="6"/>
      <c r="F410" s="22"/>
      <c r="G410" s="23"/>
      <c r="H410" s="24" t="str">
        <f aca="false">IF(B410="","",IFERROR(INDEX('Start here'!$C$16:$C$20,MATCH(B410,'Start here'!$B$16:$B$20,0)),"Check vehicle"))</f>
        <v/>
      </c>
      <c r="I410" s="25" t="str">
        <f aca="false">IF(OR(F410="",H410&lt;&gt;"Car or van"),"",SUMIFS($F$6:F410,$H$6:H410,"Car or van"))</f>
        <v/>
      </c>
      <c r="J410" s="24" t="str">
        <f aca="false">IF(F410="","",IF(H410="Car or van",IF(O410=0,TEXT(INDEX('Notes and sources'!$C$6:$D$6,1,'Start here'!$C$11)*100,"0")&amp;"p",IF(N410=0,TEXT(INDEX('Notes and sources'!$C$7:$D$7,1,'Start here'!$C$11)*100,"0")&amp;"p",TEXT(INDEX('Notes and sources'!$C$6:$D$6,1,'Start here'!$C$11)*100,"0")&amp;"p/"&amp;TEXT(INDEX('Notes and sources'!$C$7:$D$7,1,'Start here'!$C$11)*100,"0")&amp;"p")),IF(H410="Motorcycle",TEXT(INDEX('Notes and sources'!$C$8:$D$8,1,'Start here'!$C$11)*100,"0")&amp;"p",IF(H410="Bicycle",TEXT(INDEX('Notes and sources'!$C$9:$D$9,1,'Start here'!$C$11)*100,"0")&amp;"p",""))))</f>
        <v/>
      </c>
      <c r="K410" s="26" t="str">
        <f aca="false">IF(F410="","",ROUND(IF(H410="Car or van",N410*INDEX('Notes and sources'!$C$6:$D$6,1,'Start here'!$C$11)+O410*INDEX('Notes and sources'!$C$7:$D$7,1,'Start here'!$C$11)+N(G410)*N(F410)*INDEX('Notes and sources'!$C$10:$D$10,1,'Start here'!$C$11),IF(H410="Motorcycle",N(F410)*INDEX('Notes and sources'!$C$8:$D$8,1,'Start here'!$C$11),IF(H410="Bicycle",N(F410)*INDEX('Notes and sources'!$C$9:$D$9,1,'Start here'!$C$11),0))),2))</f>
        <v/>
      </c>
      <c r="L410" s="27"/>
      <c r="N410" s="2" t="n">
        <f aca="false">IF(I410="",0,MAX(0,MIN(N(F410),INDEX('Notes and sources'!$C$12:$D$12,1,'Start here'!$C$11)-(I410-N(F410)))))</f>
        <v>0</v>
      </c>
      <c r="O410" s="2" t="n">
        <f aca="false">IF(I410="",0,N(F410)-N410)</f>
        <v>0</v>
      </c>
      <c r="P410" s="2" t="str">
        <f aca="false">IF(A410="","",IF(AND(MONTH(A410)=4,DAY(A410)&lt;6),13,MOD(MONTH(A410)-4,12)+1))</f>
        <v/>
      </c>
    </row>
    <row r="411" customFormat="false" ht="15" hidden="false" customHeight="false" outlineLevel="0" collapsed="false">
      <c r="A411" s="21"/>
      <c r="B411" s="6"/>
      <c r="C411" s="6"/>
      <c r="D411" s="6"/>
      <c r="E411" s="6"/>
      <c r="F411" s="22"/>
      <c r="G411" s="23"/>
      <c r="H411" s="24" t="str">
        <f aca="false">IF(B411="","",IFERROR(INDEX('Start here'!$C$16:$C$20,MATCH(B411,'Start here'!$B$16:$B$20,0)),"Check vehicle"))</f>
        <v/>
      </c>
      <c r="I411" s="25" t="str">
        <f aca="false">IF(OR(F411="",H411&lt;&gt;"Car or van"),"",SUMIFS($F$6:F411,$H$6:H411,"Car or van"))</f>
        <v/>
      </c>
      <c r="J411" s="24" t="str">
        <f aca="false">IF(F411="","",IF(H411="Car or van",IF(O411=0,TEXT(INDEX('Notes and sources'!$C$6:$D$6,1,'Start here'!$C$11)*100,"0")&amp;"p",IF(N411=0,TEXT(INDEX('Notes and sources'!$C$7:$D$7,1,'Start here'!$C$11)*100,"0")&amp;"p",TEXT(INDEX('Notes and sources'!$C$6:$D$6,1,'Start here'!$C$11)*100,"0")&amp;"p/"&amp;TEXT(INDEX('Notes and sources'!$C$7:$D$7,1,'Start here'!$C$11)*100,"0")&amp;"p")),IF(H411="Motorcycle",TEXT(INDEX('Notes and sources'!$C$8:$D$8,1,'Start here'!$C$11)*100,"0")&amp;"p",IF(H411="Bicycle",TEXT(INDEX('Notes and sources'!$C$9:$D$9,1,'Start here'!$C$11)*100,"0")&amp;"p",""))))</f>
        <v/>
      </c>
      <c r="K411" s="26" t="str">
        <f aca="false">IF(F411="","",ROUND(IF(H411="Car or van",N411*INDEX('Notes and sources'!$C$6:$D$6,1,'Start here'!$C$11)+O411*INDEX('Notes and sources'!$C$7:$D$7,1,'Start here'!$C$11)+N(G411)*N(F411)*INDEX('Notes and sources'!$C$10:$D$10,1,'Start here'!$C$11),IF(H411="Motorcycle",N(F411)*INDEX('Notes and sources'!$C$8:$D$8,1,'Start here'!$C$11),IF(H411="Bicycle",N(F411)*INDEX('Notes and sources'!$C$9:$D$9,1,'Start here'!$C$11),0))),2))</f>
        <v/>
      </c>
      <c r="L411" s="27"/>
      <c r="N411" s="2" t="n">
        <f aca="false">IF(I411="",0,MAX(0,MIN(N(F411),INDEX('Notes and sources'!$C$12:$D$12,1,'Start here'!$C$11)-(I411-N(F411)))))</f>
        <v>0</v>
      </c>
      <c r="O411" s="2" t="n">
        <f aca="false">IF(I411="",0,N(F411)-N411)</f>
        <v>0</v>
      </c>
      <c r="P411" s="2" t="str">
        <f aca="false">IF(A411="","",IF(AND(MONTH(A411)=4,DAY(A411)&lt;6),13,MOD(MONTH(A411)-4,12)+1))</f>
        <v/>
      </c>
    </row>
    <row r="412" customFormat="false" ht="15" hidden="false" customHeight="false" outlineLevel="0" collapsed="false">
      <c r="A412" s="21"/>
      <c r="B412" s="6"/>
      <c r="C412" s="6"/>
      <c r="D412" s="6"/>
      <c r="E412" s="6"/>
      <c r="F412" s="22"/>
      <c r="G412" s="23"/>
      <c r="H412" s="24" t="str">
        <f aca="false">IF(B412="","",IFERROR(INDEX('Start here'!$C$16:$C$20,MATCH(B412,'Start here'!$B$16:$B$20,0)),"Check vehicle"))</f>
        <v/>
      </c>
      <c r="I412" s="25" t="str">
        <f aca="false">IF(OR(F412="",H412&lt;&gt;"Car or van"),"",SUMIFS($F$6:F412,$H$6:H412,"Car or van"))</f>
        <v/>
      </c>
      <c r="J412" s="24" t="str">
        <f aca="false">IF(F412="","",IF(H412="Car or van",IF(O412=0,TEXT(INDEX('Notes and sources'!$C$6:$D$6,1,'Start here'!$C$11)*100,"0")&amp;"p",IF(N412=0,TEXT(INDEX('Notes and sources'!$C$7:$D$7,1,'Start here'!$C$11)*100,"0")&amp;"p",TEXT(INDEX('Notes and sources'!$C$6:$D$6,1,'Start here'!$C$11)*100,"0")&amp;"p/"&amp;TEXT(INDEX('Notes and sources'!$C$7:$D$7,1,'Start here'!$C$11)*100,"0")&amp;"p")),IF(H412="Motorcycle",TEXT(INDEX('Notes and sources'!$C$8:$D$8,1,'Start here'!$C$11)*100,"0")&amp;"p",IF(H412="Bicycle",TEXT(INDEX('Notes and sources'!$C$9:$D$9,1,'Start here'!$C$11)*100,"0")&amp;"p",""))))</f>
        <v/>
      </c>
      <c r="K412" s="26" t="str">
        <f aca="false">IF(F412="","",ROUND(IF(H412="Car or van",N412*INDEX('Notes and sources'!$C$6:$D$6,1,'Start here'!$C$11)+O412*INDEX('Notes and sources'!$C$7:$D$7,1,'Start here'!$C$11)+N(G412)*N(F412)*INDEX('Notes and sources'!$C$10:$D$10,1,'Start here'!$C$11),IF(H412="Motorcycle",N(F412)*INDEX('Notes and sources'!$C$8:$D$8,1,'Start here'!$C$11),IF(H412="Bicycle",N(F412)*INDEX('Notes and sources'!$C$9:$D$9,1,'Start here'!$C$11),0))),2))</f>
        <v/>
      </c>
      <c r="L412" s="27"/>
      <c r="N412" s="2" t="n">
        <f aca="false">IF(I412="",0,MAX(0,MIN(N(F412),INDEX('Notes and sources'!$C$12:$D$12,1,'Start here'!$C$11)-(I412-N(F412)))))</f>
        <v>0</v>
      </c>
      <c r="O412" s="2" t="n">
        <f aca="false">IF(I412="",0,N(F412)-N412)</f>
        <v>0</v>
      </c>
      <c r="P412" s="2" t="str">
        <f aca="false">IF(A412="","",IF(AND(MONTH(A412)=4,DAY(A412)&lt;6),13,MOD(MONTH(A412)-4,12)+1))</f>
        <v/>
      </c>
    </row>
    <row r="413" customFormat="false" ht="15" hidden="false" customHeight="false" outlineLevel="0" collapsed="false">
      <c r="A413" s="21"/>
      <c r="B413" s="6"/>
      <c r="C413" s="6"/>
      <c r="D413" s="6"/>
      <c r="E413" s="6"/>
      <c r="F413" s="22"/>
      <c r="G413" s="23"/>
      <c r="H413" s="24" t="str">
        <f aca="false">IF(B413="","",IFERROR(INDEX('Start here'!$C$16:$C$20,MATCH(B413,'Start here'!$B$16:$B$20,0)),"Check vehicle"))</f>
        <v/>
      </c>
      <c r="I413" s="25" t="str">
        <f aca="false">IF(OR(F413="",H413&lt;&gt;"Car or van"),"",SUMIFS($F$6:F413,$H$6:H413,"Car or van"))</f>
        <v/>
      </c>
      <c r="J413" s="24" t="str">
        <f aca="false">IF(F413="","",IF(H413="Car or van",IF(O413=0,TEXT(INDEX('Notes and sources'!$C$6:$D$6,1,'Start here'!$C$11)*100,"0")&amp;"p",IF(N413=0,TEXT(INDEX('Notes and sources'!$C$7:$D$7,1,'Start here'!$C$11)*100,"0")&amp;"p",TEXT(INDEX('Notes and sources'!$C$6:$D$6,1,'Start here'!$C$11)*100,"0")&amp;"p/"&amp;TEXT(INDEX('Notes and sources'!$C$7:$D$7,1,'Start here'!$C$11)*100,"0")&amp;"p")),IF(H413="Motorcycle",TEXT(INDEX('Notes and sources'!$C$8:$D$8,1,'Start here'!$C$11)*100,"0")&amp;"p",IF(H413="Bicycle",TEXT(INDEX('Notes and sources'!$C$9:$D$9,1,'Start here'!$C$11)*100,"0")&amp;"p",""))))</f>
        <v/>
      </c>
      <c r="K413" s="26" t="str">
        <f aca="false">IF(F413="","",ROUND(IF(H413="Car or van",N413*INDEX('Notes and sources'!$C$6:$D$6,1,'Start here'!$C$11)+O413*INDEX('Notes and sources'!$C$7:$D$7,1,'Start here'!$C$11)+N(G413)*N(F413)*INDEX('Notes and sources'!$C$10:$D$10,1,'Start here'!$C$11),IF(H413="Motorcycle",N(F413)*INDEX('Notes and sources'!$C$8:$D$8,1,'Start here'!$C$11),IF(H413="Bicycle",N(F413)*INDEX('Notes and sources'!$C$9:$D$9,1,'Start here'!$C$11),0))),2))</f>
        <v/>
      </c>
      <c r="L413" s="27"/>
      <c r="N413" s="2" t="n">
        <f aca="false">IF(I413="",0,MAX(0,MIN(N(F413),INDEX('Notes and sources'!$C$12:$D$12,1,'Start here'!$C$11)-(I413-N(F413)))))</f>
        <v>0</v>
      </c>
      <c r="O413" s="2" t="n">
        <f aca="false">IF(I413="",0,N(F413)-N413)</f>
        <v>0</v>
      </c>
      <c r="P413" s="2" t="str">
        <f aca="false">IF(A413="","",IF(AND(MONTH(A413)=4,DAY(A413)&lt;6),13,MOD(MONTH(A413)-4,12)+1))</f>
        <v/>
      </c>
    </row>
    <row r="414" customFormat="false" ht="15" hidden="false" customHeight="false" outlineLevel="0" collapsed="false">
      <c r="A414" s="21"/>
      <c r="B414" s="6"/>
      <c r="C414" s="6"/>
      <c r="D414" s="6"/>
      <c r="E414" s="6"/>
      <c r="F414" s="22"/>
      <c r="G414" s="23"/>
      <c r="H414" s="24" t="str">
        <f aca="false">IF(B414="","",IFERROR(INDEX('Start here'!$C$16:$C$20,MATCH(B414,'Start here'!$B$16:$B$20,0)),"Check vehicle"))</f>
        <v/>
      </c>
      <c r="I414" s="25" t="str">
        <f aca="false">IF(OR(F414="",H414&lt;&gt;"Car or van"),"",SUMIFS($F$6:F414,$H$6:H414,"Car or van"))</f>
        <v/>
      </c>
      <c r="J414" s="24" t="str">
        <f aca="false">IF(F414="","",IF(H414="Car or van",IF(O414=0,TEXT(INDEX('Notes and sources'!$C$6:$D$6,1,'Start here'!$C$11)*100,"0")&amp;"p",IF(N414=0,TEXT(INDEX('Notes and sources'!$C$7:$D$7,1,'Start here'!$C$11)*100,"0")&amp;"p",TEXT(INDEX('Notes and sources'!$C$6:$D$6,1,'Start here'!$C$11)*100,"0")&amp;"p/"&amp;TEXT(INDEX('Notes and sources'!$C$7:$D$7,1,'Start here'!$C$11)*100,"0")&amp;"p")),IF(H414="Motorcycle",TEXT(INDEX('Notes and sources'!$C$8:$D$8,1,'Start here'!$C$11)*100,"0")&amp;"p",IF(H414="Bicycle",TEXT(INDEX('Notes and sources'!$C$9:$D$9,1,'Start here'!$C$11)*100,"0")&amp;"p",""))))</f>
        <v/>
      </c>
      <c r="K414" s="26" t="str">
        <f aca="false">IF(F414="","",ROUND(IF(H414="Car or van",N414*INDEX('Notes and sources'!$C$6:$D$6,1,'Start here'!$C$11)+O414*INDEX('Notes and sources'!$C$7:$D$7,1,'Start here'!$C$11)+N(G414)*N(F414)*INDEX('Notes and sources'!$C$10:$D$10,1,'Start here'!$C$11),IF(H414="Motorcycle",N(F414)*INDEX('Notes and sources'!$C$8:$D$8,1,'Start here'!$C$11),IF(H414="Bicycle",N(F414)*INDEX('Notes and sources'!$C$9:$D$9,1,'Start here'!$C$11),0))),2))</f>
        <v/>
      </c>
      <c r="L414" s="27"/>
      <c r="N414" s="2" t="n">
        <f aca="false">IF(I414="",0,MAX(0,MIN(N(F414),INDEX('Notes and sources'!$C$12:$D$12,1,'Start here'!$C$11)-(I414-N(F414)))))</f>
        <v>0</v>
      </c>
      <c r="O414" s="2" t="n">
        <f aca="false">IF(I414="",0,N(F414)-N414)</f>
        <v>0</v>
      </c>
      <c r="P414" s="2" t="str">
        <f aca="false">IF(A414="","",IF(AND(MONTH(A414)=4,DAY(A414)&lt;6),13,MOD(MONTH(A414)-4,12)+1))</f>
        <v/>
      </c>
    </row>
    <row r="415" customFormat="false" ht="15" hidden="false" customHeight="false" outlineLevel="0" collapsed="false">
      <c r="A415" s="21"/>
      <c r="B415" s="6"/>
      <c r="C415" s="6"/>
      <c r="D415" s="6"/>
      <c r="E415" s="6"/>
      <c r="F415" s="22"/>
      <c r="G415" s="23"/>
      <c r="H415" s="24" t="str">
        <f aca="false">IF(B415="","",IFERROR(INDEX('Start here'!$C$16:$C$20,MATCH(B415,'Start here'!$B$16:$B$20,0)),"Check vehicle"))</f>
        <v/>
      </c>
      <c r="I415" s="25" t="str">
        <f aca="false">IF(OR(F415="",H415&lt;&gt;"Car or van"),"",SUMIFS($F$6:F415,$H$6:H415,"Car or van"))</f>
        <v/>
      </c>
      <c r="J415" s="24" t="str">
        <f aca="false">IF(F415="","",IF(H415="Car or van",IF(O415=0,TEXT(INDEX('Notes and sources'!$C$6:$D$6,1,'Start here'!$C$11)*100,"0")&amp;"p",IF(N415=0,TEXT(INDEX('Notes and sources'!$C$7:$D$7,1,'Start here'!$C$11)*100,"0")&amp;"p",TEXT(INDEX('Notes and sources'!$C$6:$D$6,1,'Start here'!$C$11)*100,"0")&amp;"p/"&amp;TEXT(INDEX('Notes and sources'!$C$7:$D$7,1,'Start here'!$C$11)*100,"0")&amp;"p")),IF(H415="Motorcycle",TEXT(INDEX('Notes and sources'!$C$8:$D$8,1,'Start here'!$C$11)*100,"0")&amp;"p",IF(H415="Bicycle",TEXT(INDEX('Notes and sources'!$C$9:$D$9,1,'Start here'!$C$11)*100,"0")&amp;"p",""))))</f>
        <v/>
      </c>
      <c r="K415" s="26" t="str">
        <f aca="false">IF(F415="","",ROUND(IF(H415="Car or van",N415*INDEX('Notes and sources'!$C$6:$D$6,1,'Start here'!$C$11)+O415*INDEX('Notes and sources'!$C$7:$D$7,1,'Start here'!$C$11)+N(G415)*N(F415)*INDEX('Notes and sources'!$C$10:$D$10,1,'Start here'!$C$11),IF(H415="Motorcycle",N(F415)*INDEX('Notes and sources'!$C$8:$D$8,1,'Start here'!$C$11),IF(H415="Bicycle",N(F415)*INDEX('Notes and sources'!$C$9:$D$9,1,'Start here'!$C$11),0))),2))</f>
        <v/>
      </c>
      <c r="L415" s="27"/>
      <c r="N415" s="2" t="n">
        <f aca="false">IF(I415="",0,MAX(0,MIN(N(F415),INDEX('Notes and sources'!$C$12:$D$12,1,'Start here'!$C$11)-(I415-N(F415)))))</f>
        <v>0</v>
      </c>
      <c r="O415" s="2" t="n">
        <f aca="false">IF(I415="",0,N(F415)-N415)</f>
        <v>0</v>
      </c>
      <c r="P415" s="2" t="str">
        <f aca="false">IF(A415="","",IF(AND(MONTH(A415)=4,DAY(A415)&lt;6),13,MOD(MONTH(A415)-4,12)+1))</f>
        <v/>
      </c>
    </row>
    <row r="416" customFormat="false" ht="15" hidden="false" customHeight="false" outlineLevel="0" collapsed="false">
      <c r="A416" s="21"/>
      <c r="B416" s="6"/>
      <c r="C416" s="6"/>
      <c r="D416" s="6"/>
      <c r="E416" s="6"/>
      <c r="F416" s="22"/>
      <c r="G416" s="23"/>
      <c r="H416" s="24" t="str">
        <f aca="false">IF(B416="","",IFERROR(INDEX('Start here'!$C$16:$C$20,MATCH(B416,'Start here'!$B$16:$B$20,0)),"Check vehicle"))</f>
        <v/>
      </c>
      <c r="I416" s="25" t="str">
        <f aca="false">IF(OR(F416="",H416&lt;&gt;"Car or van"),"",SUMIFS($F$6:F416,$H$6:H416,"Car or van"))</f>
        <v/>
      </c>
      <c r="J416" s="24" t="str">
        <f aca="false">IF(F416="","",IF(H416="Car or van",IF(O416=0,TEXT(INDEX('Notes and sources'!$C$6:$D$6,1,'Start here'!$C$11)*100,"0")&amp;"p",IF(N416=0,TEXT(INDEX('Notes and sources'!$C$7:$D$7,1,'Start here'!$C$11)*100,"0")&amp;"p",TEXT(INDEX('Notes and sources'!$C$6:$D$6,1,'Start here'!$C$11)*100,"0")&amp;"p/"&amp;TEXT(INDEX('Notes and sources'!$C$7:$D$7,1,'Start here'!$C$11)*100,"0")&amp;"p")),IF(H416="Motorcycle",TEXT(INDEX('Notes and sources'!$C$8:$D$8,1,'Start here'!$C$11)*100,"0")&amp;"p",IF(H416="Bicycle",TEXT(INDEX('Notes and sources'!$C$9:$D$9,1,'Start here'!$C$11)*100,"0")&amp;"p",""))))</f>
        <v/>
      </c>
      <c r="K416" s="26" t="str">
        <f aca="false">IF(F416="","",ROUND(IF(H416="Car or van",N416*INDEX('Notes and sources'!$C$6:$D$6,1,'Start here'!$C$11)+O416*INDEX('Notes and sources'!$C$7:$D$7,1,'Start here'!$C$11)+N(G416)*N(F416)*INDEX('Notes and sources'!$C$10:$D$10,1,'Start here'!$C$11),IF(H416="Motorcycle",N(F416)*INDEX('Notes and sources'!$C$8:$D$8,1,'Start here'!$C$11),IF(H416="Bicycle",N(F416)*INDEX('Notes and sources'!$C$9:$D$9,1,'Start here'!$C$11),0))),2))</f>
        <v/>
      </c>
      <c r="L416" s="27"/>
      <c r="N416" s="2" t="n">
        <f aca="false">IF(I416="",0,MAX(0,MIN(N(F416),INDEX('Notes and sources'!$C$12:$D$12,1,'Start here'!$C$11)-(I416-N(F416)))))</f>
        <v>0</v>
      </c>
      <c r="O416" s="2" t="n">
        <f aca="false">IF(I416="",0,N(F416)-N416)</f>
        <v>0</v>
      </c>
      <c r="P416" s="2" t="str">
        <f aca="false">IF(A416="","",IF(AND(MONTH(A416)=4,DAY(A416)&lt;6),13,MOD(MONTH(A416)-4,12)+1))</f>
        <v/>
      </c>
    </row>
    <row r="417" customFormat="false" ht="15" hidden="false" customHeight="false" outlineLevel="0" collapsed="false">
      <c r="A417" s="21"/>
      <c r="B417" s="6"/>
      <c r="C417" s="6"/>
      <c r="D417" s="6"/>
      <c r="E417" s="6"/>
      <c r="F417" s="22"/>
      <c r="G417" s="23"/>
      <c r="H417" s="24" t="str">
        <f aca="false">IF(B417="","",IFERROR(INDEX('Start here'!$C$16:$C$20,MATCH(B417,'Start here'!$B$16:$B$20,0)),"Check vehicle"))</f>
        <v/>
      </c>
      <c r="I417" s="25" t="str">
        <f aca="false">IF(OR(F417="",H417&lt;&gt;"Car or van"),"",SUMIFS($F$6:F417,$H$6:H417,"Car or van"))</f>
        <v/>
      </c>
      <c r="J417" s="24" t="str">
        <f aca="false">IF(F417="","",IF(H417="Car or van",IF(O417=0,TEXT(INDEX('Notes and sources'!$C$6:$D$6,1,'Start here'!$C$11)*100,"0")&amp;"p",IF(N417=0,TEXT(INDEX('Notes and sources'!$C$7:$D$7,1,'Start here'!$C$11)*100,"0")&amp;"p",TEXT(INDEX('Notes and sources'!$C$6:$D$6,1,'Start here'!$C$11)*100,"0")&amp;"p/"&amp;TEXT(INDEX('Notes and sources'!$C$7:$D$7,1,'Start here'!$C$11)*100,"0")&amp;"p")),IF(H417="Motorcycle",TEXT(INDEX('Notes and sources'!$C$8:$D$8,1,'Start here'!$C$11)*100,"0")&amp;"p",IF(H417="Bicycle",TEXT(INDEX('Notes and sources'!$C$9:$D$9,1,'Start here'!$C$11)*100,"0")&amp;"p",""))))</f>
        <v/>
      </c>
      <c r="K417" s="26" t="str">
        <f aca="false">IF(F417="","",ROUND(IF(H417="Car or van",N417*INDEX('Notes and sources'!$C$6:$D$6,1,'Start here'!$C$11)+O417*INDEX('Notes and sources'!$C$7:$D$7,1,'Start here'!$C$11)+N(G417)*N(F417)*INDEX('Notes and sources'!$C$10:$D$10,1,'Start here'!$C$11),IF(H417="Motorcycle",N(F417)*INDEX('Notes and sources'!$C$8:$D$8,1,'Start here'!$C$11),IF(H417="Bicycle",N(F417)*INDEX('Notes and sources'!$C$9:$D$9,1,'Start here'!$C$11),0))),2))</f>
        <v/>
      </c>
      <c r="L417" s="27"/>
      <c r="N417" s="2" t="n">
        <f aca="false">IF(I417="",0,MAX(0,MIN(N(F417),INDEX('Notes and sources'!$C$12:$D$12,1,'Start here'!$C$11)-(I417-N(F417)))))</f>
        <v>0</v>
      </c>
      <c r="O417" s="2" t="n">
        <f aca="false">IF(I417="",0,N(F417)-N417)</f>
        <v>0</v>
      </c>
      <c r="P417" s="2" t="str">
        <f aca="false">IF(A417="","",IF(AND(MONTH(A417)=4,DAY(A417)&lt;6),13,MOD(MONTH(A417)-4,12)+1))</f>
        <v/>
      </c>
    </row>
    <row r="418" customFormat="false" ht="15" hidden="false" customHeight="false" outlineLevel="0" collapsed="false">
      <c r="A418" s="21"/>
      <c r="B418" s="6"/>
      <c r="C418" s="6"/>
      <c r="D418" s="6"/>
      <c r="E418" s="6"/>
      <c r="F418" s="22"/>
      <c r="G418" s="23"/>
      <c r="H418" s="24" t="str">
        <f aca="false">IF(B418="","",IFERROR(INDEX('Start here'!$C$16:$C$20,MATCH(B418,'Start here'!$B$16:$B$20,0)),"Check vehicle"))</f>
        <v/>
      </c>
      <c r="I418" s="25" t="str">
        <f aca="false">IF(OR(F418="",H418&lt;&gt;"Car or van"),"",SUMIFS($F$6:F418,$H$6:H418,"Car or van"))</f>
        <v/>
      </c>
      <c r="J418" s="24" t="str">
        <f aca="false">IF(F418="","",IF(H418="Car or van",IF(O418=0,TEXT(INDEX('Notes and sources'!$C$6:$D$6,1,'Start here'!$C$11)*100,"0")&amp;"p",IF(N418=0,TEXT(INDEX('Notes and sources'!$C$7:$D$7,1,'Start here'!$C$11)*100,"0")&amp;"p",TEXT(INDEX('Notes and sources'!$C$6:$D$6,1,'Start here'!$C$11)*100,"0")&amp;"p/"&amp;TEXT(INDEX('Notes and sources'!$C$7:$D$7,1,'Start here'!$C$11)*100,"0")&amp;"p")),IF(H418="Motorcycle",TEXT(INDEX('Notes and sources'!$C$8:$D$8,1,'Start here'!$C$11)*100,"0")&amp;"p",IF(H418="Bicycle",TEXT(INDEX('Notes and sources'!$C$9:$D$9,1,'Start here'!$C$11)*100,"0")&amp;"p",""))))</f>
        <v/>
      </c>
      <c r="K418" s="26" t="str">
        <f aca="false">IF(F418="","",ROUND(IF(H418="Car or van",N418*INDEX('Notes and sources'!$C$6:$D$6,1,'Start here'!$C$11)+O418*INDEX('Notes and sources'!$C$7:$D$7,1,'Start here'!$C$11)+N(G418)*N(F418)*INDEX('Notes and sources'!$C$10:$D$10,1,'Start here'!$C$11),IF(H418="Motorcycle",N(F418)*INDEX('Notes and sources'!$C$8:$D$8,1,'Start here'!$C$11),IF(H418="Bicycle",N(F418)*INDEX('Notes and sources'!$C$9:$D$9,1,'Start here'!$C$11),0))),2))</f>
        <v/>
      </c>
      <c r="L418" s="27"/>
      <c r="N418" s="2" t="n">
        <f aca="false">IF(I418="",0,MAX(0,MIN(N(F418),INDEX('Notes and sources'!$C$12:$D$12,1,'Start here'!$C$11)-(I418-N(F418)))))</f>
        <v>0</v>
      </c>
      <c r="O418" s="2" t="n">
        <f aca="false">IF(I418="",0,N(F418)-N418)</f>
        <v>0</v>
      </c>
      <c r="P418" s="2" t="str">
        <f aca="false">IF(A418="","",IF(AND(MONTH(A418)=4,DAY(A418)&lt;6),13,MOD(MONTH(A418)-4,12)+1))</f>
        <v/>
      </c>
    </row>
    <row r="419" customFormat="false" ht="15" hidden="false" customHeight="false" outlineLevel="0" collapsed="false">
      <c r="A419" s="21"/>
      <c r="B419" s="6"/>
      <c r="C419" s="6"/>
      <c r="D419" s="6"/>
      <c r="E419" s="6"/>
      <c r="F419" s="22"/>
      <c r="G419" s="23"/>
      <c r="H419" s="24" t="str">
        <f aca="false">IF(B419="","",IFERROR(INDEX('Start here'!$C$16:$C$20,MATCH(B419,'Start here'!$B$16:$B$20,0)),"Check vehicle"))</f>
        <v/>
      </c>
      <c r="I419" s="25" t="str">
        <f aca="false">IF(OR(F419="",H419&lt;&gt;"Car or van"),"",SUMIFS($F$6:F419,$H$6:H419,"Car or van"))</f>
        <v/>
      </c>
      <c r="J419" s="24" t="str">
        <f aca="false">IF(F419="","",IF(H419="Car or van",IF(O419=0,TEXT(INDEX('Notes and sources'!$C$6:$D$6,1,'Start here'!$C$11)*100,"0")&amp;"p",IF(N419=0,TEXT(INDEX('Notes and sources'!$C$7:$D$7,1,'Start here'!$C$11)*100,"0")&amp;"p",TEXT(INDEX('Notes and sources'!$C$6:$D$6,1,'Start here'!$C$11)*100,"0")&amp;"p/"&amp;TEXT(INDEX('Notes and sources'!$C$7:$D$7,1,'Start here'!$C$11)*100,"0")&amp;"p")),IF(H419="Motorcycle",TEXT(INDEX('Notes and sources'!$C$8:$D$8,1,'Start here'!$C$11)*100,"0")&amp;"p",IF(H419="Bicycle",TEXT(INDEX('Notes and sources'!$C$9:$D$9,1,'Start here'!$C$11)*100,"0")&amp;"p",""))))</f>
        <v/>
      </c>
      <c r="K419" s="26" t="str">
        <f aca="false">IF(F419="","",ROUND(IF(H419="Car or van",N419*INDEX('Notes and sources'!$C$6:$D$6,1,'Start here'!$C$11)+O419*INDEX('Notes and sources'!$C$7:$D$7,1,'Start here'!$C$11)+N(G419)*N(F419)*INDEX('Notes and sources'!$C$10:$D$10,1,'Start here'!$C$11),IF(H419="Motorcycle",N(F419)*INDEX('Notes and sources'!$C$8:$D$8,1,'Start here'!$C$11),IF(H419="Bicycle",N(F419)*INDEX('Notes and sources'!$C$9:$D$9,1,'Start here'!$C$11),0))),2))</f>
        <v/>
      </c>
      <c r="L419" s="27"/>
      <c r="N419" s="2" t="n">
        <f aca="false">IF(I419="",0,MAX(0,MIN(N(F419),INDEX('Notes and sources'!$C$12:$D$12,1,'Start here'!$C$11)-(I419-N(F419)))))</f>
        <v>0</v>
      </c>
      <c r="O419" s="2" t="n">
        <f aca="false">IF(I419="",0,N(F419)-N419)</f>
        <v>0</v>
      </c>
      <c r="P419" s="2" t="str">
        <f aca="false">IF(A419="","",IF(AND(MONTH(A419)=4,DAY(A419)&lt;6),13,MOD(MONTH(A419)-4,12)+1))</f>
        <v/>
      </c>
    </row>
    <row r="420" customFormat="false" ht="15" hidden="false" customHeight="false" outlineLevel="0" collapsed="false">
      <c r="A420" s="21"/>
      <c r="B420" s="6"/>
      <c r="C420" s="6"/>
      <c r="D420" s="6"/>
      <c r="E420" s="6"/>
      <c r="F420" s="22"/>
      <c r="G420" s="23"/>
      <c r="H420" s="24" t="str">
        <f aca="false">IF(B420="","",IFERROR(INDEX('Start here'!$C$16:$C$20,MATCH(B420,'Start here'!$B$16:$B$20,0)),"Check vehicle"))</f>
        <v/>
      </c>
      <c r="I420" s="25" t="str">
        <f aca="false">IF(OR(F420="",H420&lt;&gt;"Car or van"),"",SUMIFS($F$6:F420,$H$6:H420,"Car or van"))</f>
        <v/>
      </c>
      <c r="J420" s="24" t="str">
        <f aca="false">IF(F420="","",IF(H420="Car or van",IF(O420=0,TEXT(INDEX('Notes and sources'!$C$6:$D$6,1,'Start here'!$C$11)*100,"0")&amp;"p",IF(N420=0,TEXT(INDEX('Notes and sources'!$C$7:$D$7,1,'Start here'!$C$11)*100,"0")&amp;"p",TEXT(INDEX('Notes and sources'!$C$6:$D$6,1,'Start here'!$C$11)*100,"0")&amp;"p/"&amp;TEXT(INDEX('Notes and sources'!$C$7:$D$7,1,'Start here'!$C$11)*100,"0")&amp;"p")),IF(H420="Motorcycle",TEXT(INDEX('Notes and sources'!$C$8:$D$8,1,'Start here'!$C$11)*100,"0")&amp;"p",IF(H420="Bicycle",TEXT(INDEX('Notes and sources'!$C$9:$D$9,1,'Start here'!$C$11)*100,"0")&amp;"p",""))))</f>
        <v/>
      </c>
      <c r="K420" s="26" t="str">
        <f aca="false">IF(F420="","",ROUND(IF(H420="Car or van",N420*INDEX('Notes and sources'!$C$6:$D$6,1,'Start here'!$C$11)+O420*INDEX('Notes and sources'!$C$7:$D$7,1,'Start here'!$C$11)+N(G420)*N(F420)*INDEX('Notes and sources'!$C$10:$D$10,1,'Start here'!$C$11),IF(H420="Motorcycle",N(F420)*INDEX('Notes and sources'!$C$8:$D$8,1,'Start here'!$C$11),IF(H420="Bicycle",N(F420)*INDEX('Notes and sources'!$C$9:$D$9,1,'Start here'!$C$11),0))),2))</f>
        <v/>
      </c>
      <c r="L420" s="27"/>
      <c r="N420" s="2" t="n">
        <f aca="false">IF(I420="",0,MAX(0,MIN(N(F420),INDEX('Notes and sources'!$C$12:$D$12,1,'Start here'!$C$11)-(I420-N(F420)))))</f>
        <v>0</v>
      </c>
      <c r="O420" s="2" t="n">
        <f aca="false">IF(I420="",0,N(F420)-N420)</f>
        <v>0</v>
      </c>
      <c r="P420" s="2" t="str">
        <f aca="false">IF(A420="","",IF(AND(MONTH(A420)=4,DAY(A420)&lt;6),13,MOD(MONTH(A420)-4,12)+1))</f>
        <v/>
      </c>
    </row>
    <row r="421" customFormat="false" ht="15" hidden="false" customHeight="false" outlineLevel="0" collapsed="false">
      <c r="A421" s="21"/>
      <c r="B421" s="6"/>
      <c r="C421" s="6"/>
      <c r="D421" s="6"/>
      <c r="E421" s="6"/>
      <c r="F421" s="22"/>
      <c r="G421" s="23"/>
      <c r="H421" s="24" t="str">
        <f aca="false">IF(B421="","",IFERROR(INDEX('Start here'!$C$16:$C$20,MATCH(B421,'Start here'!$B$16:$B$20,0)),"Check vehicle"))</f>
        <v/>
      </c>
      <c r="I421" s="25" t="str">
        <f aca="false">IF(OR(F421="",H421&lt;&gt;"Car or van"),"",SUMIFS($F$6:F421,$H$6:H421,"Car or van"))</f>
        <v/>
      </c>
      <c r="J421" s="24" t="str">
        <f aca="false">IF(F421="","",IF(H421="Car or van",IF(O421=0,TEXT(INDEX('Notes and sources'!$C$6:$D$6,1,'Start here'!$C$11)*100,"0")&amp;"p",IF(N421=0,TEXT(INDEX('Notes and sources'!$C$7:$D$7,1,'Start here'!$C$11)*100,"0")&amp;"p",TEXT(INDEX('Notes and sources'!$C$6:$D$6,1,'Start here'!$C$11)*100,"0")&amp;"p/"&amp;TEXT(INDEX('Notes and sources'!$C$7:$D$7,1,'Start here'!$C$11)*100,"0")&amp;"p")),IF(H421="Motorcycle",TEXT(INDEX('Notes and sources'!$C$8:$D$8,1,'Start here'!$C$11)*100,"0")&amp;"p",IF(H421="Bicycle",TEXT(INDEX('Notes and sources'!$C$9:$D$9,1,'Start here'!$C$11)*100,"0")&amp;"p",""))))</f>
        <v/>
      </c>
      <c r="K421" s="26" t="str">
        <f aca="false">IF(F421="","",ROUND(IF(H421="Car or van",N421*INDEX('Notes and sources'!$C$6:$D$6,1,'Start here'!$C$11)+O421*INDEX('Notes and sources'!$C$7:$D$7,1,'Start here'!$C$11)+N(G421)*N(F421)*INDEX('Notes and sources'!$C$10:$D$10,1,'Start here'!$C$11),IF(H421="Motorcycle",N(F421)*INDEX('Notes and sources'!$C$8:$D$8,1,'Start here'!$C$11),IF(H421="Bicycle",N(F421)*INDEX('Notes and sources'!$C$9:$D$9,1,'Start here'!$C$11),0))),2))</f>
        <v/>
      </c>
      <c r="L421" s="27"/>
      <c r="N421" s="2" t="n">
        <f aca="false">IF(I421="",0,MAX(0,MIN(N(F421),INDEX('Notes and sources'!$C$12:$D$12,1,'Start here'!$C$11)-(I421-N(F421)))))</f>
        <v>0</v>
      </c>
      <c r="O421" s="2" t="n">
        <f aca="false">IF(I421="",0,N(F421)-N421)</f>
        <v>0</v>
      </c>
      <c r="P421" s="2" t="str">
        <f aca="false">IF(A421="","",IF(AND(MONTH(A421)=4,DAY(A421)&lt;6),13,MOD(MONTH(A421)-4,12)+1))</f>
        <v/>
      </c>
    </row>
    <row r="422" customFormat="false" ht="15" hidden="false" customHeight="false" outlineLevel="0" collapsed="false">
      <c r="A422" s="21"/>
      <c r="B422" s="6"/>
      <c r="C422" s="6"/>
      <c r="D422" s="6"/>
      <c r="E422" s="6"/>
      <c r="F422" s="22"/>
      <c r="G422" s="23"/>
      <c r="H422" s="24" t="str">
        <f aca="false">IF(B422="","",IFERROR(INDEX('Start here'!$C$16:$C$20,MATCH(B422,'Start here'!$B$16:$B$20,0)),"Check vehicle"))</f>
        <v/>
      </c>
      <c r="I422" s="25" t="str">
        <f aca="false">IF(OR(F422="",H422&lt;&gt;"Car or van"),"",SUMIFS($F$6:F422,$H$6:H422,"Car or van"))</f>
        <v/>
      </c>
      <c r="J422" s="24" t="str">
        <f aca="false">IF(F422="","",IF(H422="Car or van",IF(O422=0,TEXT(INDEX('Notes and sources'!$C$6:$D$6,1,'Start here'!$C$11)*100,"0")&amp;"p",IF(N422=0,TEXT(INDEX('Notes and sources'!$C$7:$D$7,1,'Start here'!$C$11)*100,"0")&amp;"p",TEXT(INDEX('Notes and sources'!$C$6:$D$6,1,'Start here'!$C$11)*100,"0")&amp;"p/"&amp;TEXT(INDEX('Notes and sources'!$C$7:$D$7,1,'Start here'!$C$11)*100,"0")&amp;"p")),IF(H422="Motorcycle",TEXT(INDEX('Notes and sources'!$C$8:$D$8,1,'Start here'!$C$11)*100,"0")&amp;"p",IF(H422="Bicycle",TEXT(INDEX('Notes and sources'!$C$9:$D$9,1,'Start here'!$C$11)*100,"0")&amp;"p",""))))</f>
        <v/>
      </c>
      <c r="K422" s="26" t="str">
        <f aca="false">IF(F422="","",ROUND(IF(H422="Car or van",N422*INDEX('Notes and sources'!$C$6:$D$6,1,'Start here'!$C$11)+O422*INDEX('Notes and sources'!$C$7:$D$7,1,'Start here'!$C$11)+N(G422)*N(F422)*INDEX('Notes and sources'!$C$10:$D$10,1,'Start here'!$C$11),IF(H422="Motorcycle",N(F422)*INDEX('Notes and sources'!$C$8:$D$8,1,'Start here'!$C$11),IF(H422="Bicycle",N(F422)*INDEX('Notes and sources'!$C$9:$D$9,1,'Start here'!$C$11),0))),2))</f>
        <v/>
      </c>
      <c r="L422" s="27"/>
      <c r="N422" s="2" t="n">
        <f aca="false">IF(I422="",0,MAX(0,MIN(N(F422),INDEX('Notes and sources'!$C$12:$D$12,1,'Start here'!$C$11)-(I422-N(F422)))))</f>
        <v>0</v>
      </c>
      <c r="O422" s="2" t="n">
        <f aca="false">IF(I422="",0,N(F422)-N422)</f>
        <v>0</v>
      </c>
      <c r="P422" s="2" t="str">
        <f aca="false">IF(A422="","",IF(AND(MONTH(A422)=4,DAY(A422)&lt;6),13,MOD(MONTH(A422)-4,12)+1))</f>
        <v/>
      </c>
    </row>
    <row r="423" customFormat="false" ht="15" hidden="false" customHeight="false" outlineLevel="0" collapsed="false">
      <c r="A423" s="21"/>
      <c r="B423" s="6"/>
      <c r="C423" s="6"/>
      <c r="D423" s="6"/>
      <c r="E423" s="6"/>
      <c r="F423" s="22"/>
      <c r="G423" s="23"/>
      <c r="H423" s="24" t="str">
        <f aca="false">IF(B423="","",IFERROR(INDEX('Start here'!$C$16:$C$20,MATCH(B423,'Start here'!$B$16:$B$20,0)),"Check vehicle"))</f>
        <v/>
      </c>
      <c r="I423" s="25" t="str">
        <f aca="false">IF(OR(F423="",H423&lt;&gt;"Car or van"),"",SUMIFS($F$6:F423,$H$6:H423,"Car or van"))</f>
        <v/>
      </c>
      <c r="J423" s="24" t="str">
        <f aca="false">IF(F423="","",IF(H423="Car or van",IF(O423=0,TEXT(INDEX('Notes and sources'!$C$6:$D$6,1,'Start here'!$C$11)*100,"0")&amp;"p",IF(N423=0,TEXT(INDEX('Notes and sources'!$C$7:$D$7,1,'Start here'!$C$11)*100,"0")&amp;"p",TEXT(INDEX('Notes and sources'!$C$6:$D$6,1,'Start here'!$C$11)*100,"0")&amp;"p/"&amp;TEXT(INDEX('Notes and sources'!$C$7:$D$7,1,'Start here'!$C$11)*100,"0")&amp;"p")),IF(H423="Motorcycle",TEXT(INDEX('Notes and sources'!$C$8:$D$8,1,'Start here'!$C$11)*100,"0")&amp;"p",IF(H423="Bicycle",TEXT(INDEX('Notes and sources'!$C$9:$D$9,1,'Start here'!$C$11)*100,"0")&amp;"p",""))))</f>
        <v/>
      </c>
      <c r="K423" s="26" t="str">
        <f aca="false">IF(F423="","",ROUND(IF(H423="Car or van",N423*INDEX('Notes and sources'!$C$6:$D$6,1,'Start here'!$C$11)+O423*INDEX('Notes and sources'!$C$7:$D$7,1,'Start here'!$C$11)+N(G423)*N(F423)*INDEX('Notes and sources'!$C$10:$D$10,1,'Start here'!$C$11),IF(H423="Motorcycle",N(F423)*INDEX('Notes and sources'!$C$8:$D$8,1,'Start here'!$C$11),IF(H423="Bicycle",N(F423)*INDEX('Notes and sources'!$C$9:$D$9,1,'Start here'!$C$11),0))),2))</f>
        <v/>
      </c>
      <c r="L423" s="27"/>
      <c r="N423" s="2" t="n">
        <f aca="false">IF(I423="",0,MAX(0,MIN(N(F423),INDEX('Notes and sources'!$C$12:$D$12,1,'Start here'!$C$11)-(I423-N(F423)))))</f>
        <v>0</v>
      </c>
      <c r="O423" s="2" t="n">
        <f aca="false">IF(I423="",0,N(F423)-N423)</f>
        <v>0</v>
      </c>
      <c r="P423" s="2" t="str">
        <f aca="false">IF(A423="","",IF(AND(MONTH(A423)=4,DAY(A423)&lt;6),13,MOD(MONTH(A423)-4,12)+1))</f>
        <v/>
      </c>
    </row>
    <row r="424" customFormat="false" ht="15" hidden="false" customHeight="false" outlineLevel="0" collapsed="false">
      <c r="A424" s="21"/>
      <c r="B424" s="6"/>
      <c r="C424" s="6"/>
      <c r="D424" s="6"/>
      <c r="E424" s="6"/>
      <c r="F424" s="22"/>
      <c r="G424" s="23"/>
      <c r="H424" s="24" t="str">
        <f aca="false">IF(B424="","",IFERROR(INDEX('Start here'!$C$16:$C$20,MATCH(B424,'Start here'!$B$16:$B$20,0)),"Check vehicle"))</f>
        <v/>
      </c>
      <c r="I424" s="25" t="str">
        <f aca="false">IF(OR(F424="",H424&lt;&gt;"Car or van"),"",SUMIFS($F$6:F424,$H$6:H424,"Car or van"))</f>
        <v/>
      </c>
      <c r="J424" s="24" t="str">
        <f aca="false">IF(F424="","",IF(H424="Car or van",IF(O424=0,TEXT(INDEX('Notes and sources'!$C$6:$D$6,1,'Start here'!$C$11)*100,"0")&amp;"p",IF(N424=0,TEXT(INDEX('Notes and sources'!$C$7:$D$7,1,'Start here'!$C$11)*100,"0")&amp;"p",TEXT(INDEX('Notes and sources'!$C$6:$D$6,1,'Start here'!$C$11)*100,"0")&amp;"p/"&amp;TEXT(INDEX('Notes and sources'!$C$7:$D$7,1,'Start here'!$C$11)*100,"0")&amp;"p")),IF(H424="Motorcycle",TEXT(INDEX('Notes and sources'!$C$8:$D$8,1,'Start here'!$C$11)*100,"0")&amp;"p",IF(H424="Bicycle",TEXT(INDEX('Notes and sources'!$C$9:$D$9,1,'Start here'!$C$11)*100,"0")&amp;"p",""))))</f>
        <v/>
      </c>
      <c r="K424" s="26" t="str">
        <f aca="false">IF(F424="","",ROUND(IF(H424="Car or van",N424*INDEX('Notes and sources'!$C$6:$D$6,1,'Start here'!$C$11)+O424*INDEX('Notes and sources'!$C$7:$D$7,1,'Start here'!$C$11)+N(G424)*N(F424)*INDEX('Notes and sources'!$C$10:$D$10,1,'Start here'!$C$11),IF(H424="Motorcycle",N(F424)*INDEX('Notes and sources'!$C$8:$D$8,1,'Start here'!$C$11),IF(H424="Bicycle",N(F424)*INDEX('Notes and sources'!$C$9:$D$9,1,'Start here'!$C$11),0))),2))</f>
        <v/>
      </c>
      <c r="L424" s="27"/>
      <c r="N424" s="2" t="n">
        <f aca="false">IF(I424="",0,MAX(0,MIN(N(F424),INDEX('Notes and sources'!$C$12:$D$12,1,'Start here'!$C$11)-(I424-N(F424)))))</f>
        <v>0</v>
      </c>
      <c r="O424" s="2" t="n">
        <f aca="false">IF(I424="",0,N(F424)-N424)</f>
        <v>0</v>
      </c>
      <c r="P424" s="2" t="str">
        <f aca="false">IF(A424="","",IF(AND(MONTH(A424)=4,DAY(A424)&lt;6),13,MOD(MONTH(A424)-4,12)+1))</f>
        <v/>
      </c>
    </row>
    <row r="425" customFormat="false" ht="15" hidden="false" customHeight="false" outlineLevel="0" collapsed="false">
      <c r="A425" s="21"/>
      <c r="B425" s="6"/>
      <c r="C425" s="6"/>
      <c r="D425" s="6"/>
      <c r="E425" s="6"/>
      <c r="F425" s="22"/>
      <c r="G425" s="23"/>
      <c r="H425" s="24" t="str">
        <f aca="false">IF(B425="","",IFERROR(INDEX('Start here'!$C$16:$C$20,MATCH(B425,'Start here'!$B$16:$B$20,0)),"Check vehicle"))</f>
        <v/>
      </c>
      <c r="I425" s="25" t="str">
        <f aca="false">IF(OR(F425="",H425&lt;&gt;"Car or van"),"",SUMIFS($F$6:F425,$H$6:H425,"Car or van"))</f>
        <v/>
      </c>
      <c r="J425" s="24" t="str">
        <f aca="false">IF(F425="","",IF(H425="Car or van",IF(O425=0,TEXT(INDEX('Notes and sources'!$C$6:$D$6,1,'Start here'!$C$11)*100,"0")&amp;"p",IF(N425=0,TEXT(INDEX('Notes and sources'!$C$7:$D$7,1,'Start here'!$C$11)*100,"0")&amp;"p",TEXT(INDEX('Notes and sources'!$C$6:$D$6,1,'Start here'!$C$11)*100,"0")&amp;"p/"&amp;TEXT(INDEX('Notes and sources'!$C$7:$D$7,1,'Start here'!$C$11)*100,"0")&amp;"p")),IF(H425="Motorcycle",TEXT(INDEX('Notes and sources'!$C$8:$D$8,1,'Start here'!$C$11)*100,"0")&amp;"p",IF(H425="Bicycle",TEXT(INDEX('Notes and sources'!$C$9:$D$9,1,'Start here'!$C$11)*100,"0")&amp;"p",""))))</f>
        <v/>
      </c>
      <c r="K425" s="26" t="str">
        <f aca="false">IF(F425="","",ROUND(IF(H425="Car or van",N425*INDEX('Notes and sources'!$C$6:$D$6,1,'Start here'!$C$11)+O425*INDEX('Notes and sources'!$C$7:$D$7,1,'Start here'!$C$11)+N(G425)*N(F425)*INDEX('Notes and sources'!$C$10:$D$10,1,'Start here'!$C$11),IF(H425="Motorcycle",N(F425)*INDEX('Notes and sources'!$C$8:$D$8,1,'Start here'!$C$11),IF(H425="Bicycle",N(F425)*INDEX('Notes and sources'!$C$9:$D$9,1,'Start here'!$C$11),0))),2))</f>
        <v/>
      </c>
      <c r="L425" s="27"/>
      <c r="N425" s="2" t="n">
        <f aca="false">IF(I425="",0,MAX(0,MIN(N(F425),INDEX('Notes and sources'!$C$12:$D$12,1,'Start here'!$C$11)-(I425-N(F425)))))</f>
        <v>0</v>
      </c>
      <c r="O425" s="2" t="n">
        <f aca="false">IF(I425="",0,N(F425)-N425)</f>
        <v>0</v>
      </c>
      <c r="P425" s="2" t="str">
        <f aca="false">IF(A425="","",IF(AND(MONTH(A425)=4,DAY(A425)&lt;6),13,MOD(MONTH(A425)-4,12)+1))</f>
        <v/>
      </c>
    </row>
    <row r="426" customFormat="false" ht="15" hidden="false" customHeight="false" outlineLevel="0" collapsed="false">
      <c r="A426" s="21"/>
      <c r="B426" s="6"/>
      <c r="C426" s="6"/>
      <c r="D426" s="6"/>
      <c r="E426" s="6"/>
      <c r="F426" s="22"/>
      <c r="G426" s="23"/>
      <c r="H426" s="24" t="str">
        <f aca="false">IF(B426="","",IFERROR(INDEX('Start here'!$C$16:$C$20,MATCH(B426,'Start here'!$B$16:$B$20,0)),"Check vehicle"))</f>
        <v/>
      </c>
      <c r="I426" s="25" t="str">
        <f aca="false">IF(OR(F426="",H426&lt;&gt;"Car or van"),"",SUMIFS($F$6:F426,$H$6:H426,"Car or van"))</f>
        <v/>
      </c>
      <c r="J426" s="24" t="str">
        <f aca="false">IF(F426="","",IF(H426="Car or van",IF(O426=0,TEXT(INDEX('Notes and sources'!$C$6:$D$6,1,'Start here'!$C$11)*100,"0")&amp;"p",IF(N426=0,TEXT(INDEX('Notes and sources'!$C$7:$D$7,1,'Start here'!$C$11)*100,"0")&amp;"p",TEXT(INDEX('Notes and sources'!$C$6:$D$6,1,'Start here'!$C$11)*100,"0")&amp;"p/"&amp;TEXT(INDEX('Notes and sources'!$C$7:$D$7,1,'Start here'!$C$11)*100,"0")&amp;"p")),IF(H426="Motorcycle",TEXT(INDEX('Notes and sources'!$C$8:$D$8,1,'Start here'!$C$11)*100,"0")&amp;"p",IF(H426="Bicycle",TEXT(INDEX('Notes and sources'!$C$9:$D$9,1,'Start here'!$C$11)*100,"0")&amp;"p",""))))</f>
        <v/>
      </c>
      <c r="K426" s="26" t="str">
        <f aca="false">IF(F426="","",ROUND(IF(H426="Car or van",N426*INDEX('Notes and sources'!$C$6:$D$6,1,'Start here'!$C$11)+O426*INDEX('Notes and sources'!$C$7:$D$7,1,'Start here'!$C$11)+N(G426)*N(F426)*INDEX('Notes and sources'!$C$10:$D$10,1,'Start here'!$C$11),IF(H426="Motorcycle",N(F426)*INDEX('Notes and sources'!$C$8:$D$8,1,'Start here'!$C$11),IF(H426="Bicycle",N(F426)*INDEX('Notes and sources'!$C$9:$D$9,1,'Start here'!$C$11),0))),2))</f>
        <v/>
      </c>
      <c r="L426" s="27"/>
      <c r="N426" s="2" t="n">
        <f aca="false">IF(I426="",0,MAX(0,MIN(N(F426),INDEX('Notes and sources'!$C$12:$D$12,1,'Start here'!$C$11)-(I426-N(F426)))))</f>
        <v>0</v>
      </c>
      <c r="O426" s="2" t="n">
        <f aca="false">IF(I426="",0,N(F426)-N426)</f>
        <v>0</v>
      </c>
      <c r="P426" s="2" t="str">
        <f aca="false">IF(A426="","",IF(AND(MONTH(A426)=4,DAY(A426)&lt;6),13,MOD(MONTH(A426)-4,12)+1))</f>
        <v/>
      </c>
    </row>
    <row r="427" customFormat="false" ht="15" hidden="false" customHeight="false" outlineLevel="0" collapsed="false">
      <c r="A427" s="21"/>
      <c r="B427" s="6"/>
      <c r="C427" s="6"/>
      <c r="D427" s="6"/>
      <c r="E427" s="6"/>
      <c r="F427" s="22"/>
      <c r="G427" s="23"/>
      <c r="H427" s="24" t="str">
        <f aca="false">IF(B427="","",IFERROR(INDEX('Start here'!$C$16:$C$20,MATCH(B427,'Start here'!$B$16:$B$20,0)),"Check vehicle"))</f>
        <v/>
      </c>
      <c r="I427" s="25" t="str">
        <f aca="false">IF(OR(F427="",H427&lt;&gt;"Car or van"),"",SUMIFS($F$6:F427,$H$6:H427,"Car or van"))</f>
        <v/>
      </c>
      <c r="J427" s="24" t="str">
        <f aca="false">IF(F427="","",IF(H427="Car or van",IF(O427=0,TEXT(INDEX('Notes and sources'!$C$6:$D$6,1,'Start here'!$C$11)*100,"0")&amp;"p",IF(N427=0,TEXT(INDEX('Notes and sources'!$C$7:$D$7,1,'Start here'!$C$11)*100,"0")&amp;"p",TEXT(INDEX('Notes and sources'!$C$6:$D$6,1,'Start here'!$C$11)*100,"0")&amp;"p/"&amp;TEXT(INDEX('Notes and sources'!$C$7:$D$7,1,'Start here'!$C$11)*100,"0")&amp;"p")),IF(H427="Motorcycle",TEXT(INDEX('Notes and sources'!$C$8:$D$8,1,'Start here'!$C$11)*100,"0")&amp;"p",IF(H427="Bicycle",TEXT(INDEX('Notes and sources'!$C$9:$D$9,1,'Start here'!$C$11)*100,"0")&amp;"p",""))))</f>
        <v/>
      </c>
      <c r="K427" s="26" t="str">
        <f aca="false">IF(F427="","",ROUND(IF(H427="Car or van",N427*INDEX('Notes and sources'!$C$6:$D$6,1,'Start here'!$C$11)+O427*INDEX('Notes and sources'!$C$7:$D$7,1,'Start here'!$C$11)+N(G427)*N(F427)*INDEX('Notes and sources'!$C$10:$D$10,1,'Start here'!$C$11),IF(H427="Motorcycle",N(F427)*INDEX('Notes and sources'!$C$8:$D$8,1,'Start here'!$C$11),IF(H427="Bicycle",N(F427)*INDEX('Notes and sources'!$C$9:$D$9,1,'Start here'!$C$11),0))),2))</f>
        <v/>
      </c>
      <c r="L427" s="27"/>
      <c r="N427" s="2" t="n">
        <f aca="false">IF(I427="",0,MAX(0,MIN(N(F427),INDEX('Notes and sources'!$C$12:$D$12,1,'Start here'!$C$11)-(I427-N(F427)))))</f>
        <v>0</v>
      </c>
      <c r="O427" s="2" t="n">
        <f aca="false">IF(I427="",0,N(F427)-N427)</f>
        <v>0</v>
      </c>
      <c r="P427" s="2" t="str">
        <f aca="false">IF(A427="","",IF(AND(MONTH(A427)=4,DAY(A427)&lt;6),13,MOD(MONTH(A427)-4,12)+1))</f>
        <v/>
      </c>
    </row>
    <row r="428" customFormat="false" ht="15" hidden="false" customHeight="false" outlineLevel="0" collapsed="false">
      <c r="A428" s="21"/>
      <c r="B428" s="6"/>
      <c r="C428" s="6"/>
      <c r="D428" s="6"/>
      <c r="E428" s="6"/>
      <c r="F428" s="22"/>
      <c r="G428" s="23"/>
      <c r="H428" s="24" t="str">
        <f aca="false">IF(B428="","",IFERROR(INDEX('Start here'!$C$16:$C$20,MATCH(B428,'Start here'!$B$16:$B$20,0)),"Check vehicle"))</f>
        <v/>
      </c>
      <c r="I428" s="25" t="str">
        <f aca="false">IF(OR(F428="",H428&lt;&gt;"Car or van"),"",SUMIFS($F$6:F428,$H$6:H428,"Car or van"))</f>
        <v/>
      </c>
      <c r="J428" s="24" t="str">
        <f aca="false">IF(F428="","",IF(H428="Car or van",IF(O428=0,TEXT(INDEX('Notes and sources'!$C$6:$D$6,1,'Start here'!$C$11)*100,"0")&amp;"p",IF(N428=0,TEXT(INDEX('Notes and sources'!$C$7:$D$7,1,'Start here'!$C$11)*100,"0")&amp;"p",TEXT(INDEX('Notes and sources'!$C$6:$D$6,1,'Start here'!$C$11)*100,"0")&amp;"p/"&amp;TEXT(INDEX('Notes and sources'!$C$7:$D$7,1,'Start here'!$C$11)*100,"0")&amp;"p")),IF(H428="Motorcycle",TEXT(INDEX('Notes and sources'!$C$8:$D$8,1,'Start here'!$C$11)*100,"0")&amp;"p",IF(H428="Bicycle",TEXT(INDEX('Notes and sources'!$C$9:$D$9,1,'Start here'!$C$11)*100,"0")&amp;"p",""))))</f>
        <v/>
      </c>
      <c r="K428" s="26" t="str">
        <f aca="false">IF(F428="","",ROUND(IF(H428="Car or van",N428*INDEX('Notes and sources'!$C$6:$D$6,1,'Start here'!$C$11)+O428*INDEX('Notes and sources'!$C$7:$D$7,1,'Start here'!$C$11)+N(G428)*N(F428)*INDEX('Notes and sources'!$C$10:$D$10,1,'Start here'!$C$11),IF(H428="Motorcycle",N(F428)*INDEX('Notes and sources'!$C$8:$D$8,1,'Start here'!$C$11),IF(H428="Bicycle",N(F428)*INDEX('Notes and sources'!$C$9:$D$9,1,'Start here'!$C$11),0))),2))</f>
        <v/>
      </c>
      <c r="L428" s="27"/>
      <c r="N428" s="2" t="n">
        <f aca="false">IF(I428="",0,MAX(0,MIN(N(F428),INDEX('Notes and sources'!$C$12:$D$12,1,'Start here'!$C$11)-(I428-N(F428)))))</f>
        <v>0</v>
      </c>
      <c r="O428" s="2" t="n">
        <f aca="false">IF(I428="",0,N(F428)-N428)</f>
        <v>0</v>
      </c>
      <c r="P428" s="2" t="str">
        <f aca="false">IF(A428="","",IF(AND(MONTH(A428)=4,DAY(A428)&lt;6),13,MOD(MONTH(A428)-4,12)+1))</f>
        <v/>
      </c>
    </row>
    <row r="429" customFormat="false" ht="15" hidden="false" customHeight="false" outlineLevel="0" collapsed="false">
      <c r="A429" s="21"/>
      <c r="B429" s="6"/>
      <c r="C429" s="6"/>
      <c r="D429" s="6"/>
      <c r="E429" s="6"/>
      <c r="F429" s="22"/>
      <c r="G429" s="23"/>
      <c r="H429" s="24" t="str">
        <f aca="false">IF(B429="","",IFERROR(INDEX('Start here'!$C$16:$C$20,MATCH(B429,'Start here'!$B$16:$B$20,0)),"Check vehicle"))</f>
        <v/>
      </c>
      <c r="I429" s="25" t="str">
        <f aca="false">IF(OR(F429="",H429&lt;&gt;"Car or van"),"",SUMIFS($F$6:F429,$H$6:H429,"Car or van"))</f>
        <v/>
      </c>
      <c r="J429" s="24" t="str">
        <f aca="false">IF(F429="","",IF(H429="Car or van",IF(O429=0,TEXT(INDEX('Notes and sources'!$C$6:$D$6,1,'Start here'!$C$11)*100,"0")&amp;"p",IF(N429=0,TEXT(INDEX('Notes and sources'!$C$7:$D$7,1,'Start here'!$C$11)*100,"0")&amp;"p",TEXT(INDEX('Notes and sources'!$C$6:$D$6,1,'Start here'!$C$11)*100,"0")&amp;"p/"&amp;TEXT(INDEX('Notes and sources'!$C$7:$D$7,1,'Start here'!$C$11)*100,"0")&amp;"p")),IF(H429="Motorcycle",TEXT(INDEX('Notes and sources'!$C$8:$D$8,1,'Start here'!$C$11)*100,"0")&amp;"p",IF(H429="Bicycle",TEXT(INDEX('Notes and sources'!$C$9:$D$9,1,'Start here'!$C$11)*100,"0")&amp;"p",""))))</f>
        <v/>
      </c>
      <c r="K429" s="26" t="str">
        <f aca="false">IF(F429="","",ROUND(IF(H429="Car or van",N429*INDEX('Notes and sources'!$C$6:$D$6,1,'Start here'!$C$11)+O429*INDEX('Notes and sources'!$C$7:$D$7,1,'Start here'!$C$11)+N(G429)*N(F429)*INDEX('Notes and sources'!$C$10:$D$10,1,'Start here'!$C$11),IF(H429="Motorcycle",N(F429)*INDEX('Notes and sources'!$C$8:$D$8,1,'Start here'!$C$11),IF(H429="Bicycle",N(F429)*INDEX('Notes and sources'!$C$9:$D$9,1,'Start here'!$C$11),0))),2))</f>
        <v/>
      </c>
      <c r="L429" s="27"/>
      <c r="N429" s="2" t="n">
        <f aca="false">IF(I429="",0,MAX(0,MIN(N(F429),INDEX('Notes and sources'!$C$12:$D$12,1,'Start here'!$C$11)-(I429-N(F429)))))</f>
        <v>0</v>
      </c>
      <c r="O429" s="2" t="n">
        <f aca="false">IF(I429="",0,N(F429)-N429)</f>
        <v>0</v>
      </c>
      <c r="P429" s="2" t="str">
        <f aca="false">IF(A429="","",IF(AND(MONTH(A429)=4,DAY(A429)&lt;6),13,MOD(MONTH(A429)-4,12)+1))</f>
        <v/>
      </c>
    </row>
    <row r="430" customFormat="false" ht="15" hidden="false" customHeight="false" outlineLevel="0" collapsed="false">
      <c r="A430" s="21"/>
      <c r="B430" s="6"/>
      <c r="C430" s="6"/>
      <c r="D430" s="6"/>
      <c r="E430" s="6"/>
      <c r="F430" s="22"/>
      <c r="G430" s="23"/>
      <c r="H430" s="24" t="str">
        <f aca="false">IF(B430="","",IFERROR(INDEX('Start here'!$C$16:$C$20,MATCH(B430,'Start here'!$B$16:$B$20,0)),"Check vehicle"))</f>
        <v/>
      </c>
      <c r="I430" s="25" t="str">
        <f aca="false">IF(OR(F430="",H430&lt;&gt;"Car or van"),"",SUMIFS($F$6:F430,$H$6:H430,"Car or van"))</f>
        <v/>
      </c>
      <c r="J430" s="24" t="str">
        <f aca="false">IF(F430="","",IF(H430="Car or van",IF(O430=0,TEXT(INDEX('Notes and sources'!$C$6:$D$6,1,'Start here'!$C$11)*100,"0")&amp;"p",IF(N430=0,TEXT(INDEX('Notes and sources'!$C$7:$D$7,1,'Start here'!$C$11)*100,"0")&amp;"p",TEXT(INDEX('Notes and sources'!$C$6:$D$6,1,'Start here'!$C$11)*100,"0")&amp;"p/"&amp;TEXT(INDEX('Notes and sources'!$C$7:$D$7,1,'Start here'!$C$11)*100,"0")&amp;"p")),IF(H430="Motorcycle",TEXT(INDEX('Notes and sources'!$C$8:$D$8,1,'Start here'!$C$11)*100,"0")&amp;"p",IF(H430="Bicycle",TEXT(INDEX('Notes and sources'!$C$9:$D$9,1,'Start here'!$C$11)*100,"0")&amp;"p",""))))</f>
        <v/>
      </c>
      <c r="K430" s="26" t="str">
        <f aca="false">IF(F430="","",ROUND(IF(H430="Car or van",N430*INDEX('Notes and sources'!$C$6:$D$6,1,'Start here'!$C$11)+O430*INDEX('Notes and sources'!$C$7:$D$7,1,'Start here'!$C$11)+N(G430)*N(F430)*INDEX('Notes and sources'!$C$10:$D$10,1,'Start here'!$C$11),IF(H430="Motorcycle",N(F430)*INDEX('Notes and sources'!$C$8:$D$8,1,'Start here'!$C$11),IF(H430="Bicycle",N(F430)*INDEX('Notes and sources'!$C$9:$D$9,1,'Start here'!$C$11),0))),2))</f>
        <v/>
      </c>
      <c r="L430" s="27"/>
      <c r="N430" s="2" t="n">
        <f aca="false">IF(I430="",0,MAX(0,MIN(N(F430),INDEX('Notes and sources'!$C$12:$D$12,1,'Start here'!$C$11)-(I430-N(F430)))))</f>
        <v>0</v>
      </c>
      <c r="O430" s="2" t="n">
        <f aca="false">IF(I430="",0,N(F430)-N430)</f>
        <v>0</v>
      </c>
      <c r="P430" s="2" t="str">
        <f aca="false">IF(A430="","",IF(AND(MONTH(A430)=4,DAY(A430)&lt;6),13,MOD(MONTH(A430)-4,12)+1))</f>
        <v/>
      </c>
    </row>
    <row r="431" customFormat="false" ht="15" hidden="false" customHeight="false" outlineLevel="0" collapsed="false">
      <c r="A431" s="21"/>
      <c r="B431" s="6"/>
      <c r="C431" s="6"/>
      <c r="D431" s="6"/>
      <c r="E431" s="6"/>
      <c r="F431" s="22"/>
      <c r="G431" s="23"/>
      <c r="H431" s="24" t="str">
        <f aca="false">IF(B431="","",IFERROR(INDEX('Start here'!$C$16:$C$20,MATCH(B431,'Start here'!$B$16:$B$20,0)),"Check vehicle"))</f>
        <v/>
      </c>
      <c r="I431" s="25" t="str">
        <f aca="false">IF(OR(F431="",H431&lt;&gt;"Car or van"),"",SUMIFS($F$6:F431,$H$6:H431,"Car or van"))</f>
        <v/>
      </c>
      <c r="J431" s="24" t="str">
        <f aca="false">IF(F431="","",IF(H431="Car or van",IF(O431=0,TEXT(INDEX('Notes and sources'!$C$6:$D$6,1,'Start here'!$C$11)*100,"0")&amp;"p",IF(N431=0,TEXT(INDEX('Notes and sources'!$C$7:$D$7,1,'Start here'!$C$11)*100,"0")&amp;"p",TEXT(INDEX('Notes and sources'!$C$6:$D$6,1,'Start here'!$C$11)*100,"0")&amp;"p/"&amp;TEXT(INDEX('Notes and sources'!$C$7:$D$7,1,'Start here'!$C$11)*100,"0")&amp;"p")),IF(H431="Motorcycle",TEXT(INDEX('Notes and sources'!$C$8:$D$8,1,'Start here'!$C$11)*100,"0")&amp;"p",IF(H431="Bicycle",TEXT(INDEX('Notes and sources'!$C$9:$D$9,1,'Start here'!$C$11)*100,"0")&amp;"p",""))))</f>
        <v/>
      </c>
      <c r="K431" s="26" t="str">
        <f aca="false">IF(F431="","",ROUND(IF(H431="Car or van",N431*INDEX('Notes and sources'!$C$6:$D$6,1,'Start here'!$C$11)+O431*INDEX('Notes and sources'!$C$7:$D$7,1,'Start here'!$C$11)+N(G431)*N(F431)*INDEX('Notes and sources'!$C$10:$D$10,1,'Start here'!$C$11),IF(H431="Motorcycle",N(F431)*INDEX('Notes and sources'!$C$8:$D$8,1,'Start here'!$C$11),IF(H431="Bicycle",N(F431)*INDEX('Notes and sources'!$C$9:$D$9,1,'Start here'!$C$11),0))),2))</f>
        <v/>
      </c>
      <c r="L431" s="27"/>
      <c r="N431" s="2" t="n">
        <f aca="false">IF(I431="",0,MAX(0,MIN(N(F431),INDEX('Notes and sources'!$C$12:$D$12,1,'Start here'!$C$11)-(I431-N(F431)))))</f>
        <v>0</v>
      </c>
      <c r="O431" s="2" t="n">
        <f aca="false">IF(I431="",0,N(F431)-N431)</f>
        <v>0</v>
      </c>
      <c r="P431" s="2" t="str">
        <f aca="false">IF(A431="","",IF(AND(MONTH(A431)=4,DAY(A431)&lt;6),13,MOD(MONTH(A431)-4,12)+1))</f>
        <v/>
      </c>
    </row>
    <row r="432" customFormat="false" ht="15" hidden="false" customHeight="false" outlineLevel="0" collapsed="false">
      <c r="A432" s="21"/>
      <c r="B432" s="6"/>
      <c r="C432" s="6"/>
      <c r="D432" s="6"/>
      <c r="E432" s="6"/>
      <c r="F432" s="22"/>
      <c r="G432" s="23"/>
      <c r="H432" s="24" t="str">
        <f aca="false">IF(B432="","",IFERROR(INDEX('Start here'!$C$16:$C$20,MATCH(B432,'Start here'!$B$16:$B$20,0)),"Check vehicle"))</f>
        <v/>
      </c>
      <c r="I432" s="25" t="str">
        <f aca="false">IF(OR(F432="",H432&lt;&gt;"Car or van"),"",SUMIFS($F$6:F432,$H$6:H432,"Car or van"))</f>
        <v/>
      </c>
      <c r="J432" s="24" t="str">
        <f aca="false">IF(F432="","",IF(H432="Car or van",IF(O432=0,TEXT(INDEX('Notes and sources'!$C$6:$D$6,1,'Start here'!$C$11)*100,"0")&amp;"p",IF(N432=0,TEXT(INDEX('Notes and sources'!$C$7:$D$7,1,'Start here'!$C$11)*100,"0")&amp;"p",TEXT(INDEX('Notes and sources'!$C$6:$D$6,1,'Start here'!$C$11)*100,"0")&amp;"p/"&amp;TEXT(INDEX('Notes and sources'!$C$7:$D$7,1,'Start here'!$C$11)*100,"0")&amp;"p")),IF(H432="Motorcycle",TEXT(INDEX('Notes and sources'!$C$8:$D$8,1,'Start here'!$C$11)*100,"0")&amp;"p",IF(H432="Bicycle",TEXT(INDEX('Notes and sources'!$C$9:$D$9,1,'Start here'!$C$11)*100,"0")&amp;"p",""))))</f>
        <v/>
      </c>
      <c r="K432" s="26" t="str">
        <f aca="false">IF(F432="","",ROUND(IF(H432="Car or van",N432*INDEX('Notes and sources'!$C$6:$D$6,1,'Start here'!$C$11)+O432*INDEX('Notes and sources'!$C$7:$D$7,1,'Start here'!$C$11)+N(G432)*N(F432)*INDEX('Notes and sources'!$C$10:$D$10,1,'Start here'!$C$11),IF(H432="Motorcycle",N(F432)*INDEX('Notes and sources'!$C$8:$D$8,1,'Start here'!$C$11),IF(H432="Bicycle",N(F432)*INDEX('Notes and sources'!$C$9:$D$9,1,'Start here'!$C$11),0))),2))</f>
        <v/>
      </c>
      <c r="L432" s="27"/>
      <c r="N432" s="2" t="n">
        <f aca="false">IF(I432="",0,MAX(0,MIN(N(F432),INDEX('Notes and sources'!$C$12:$D$12,1,'Start here'!$C$11)-(I432-N(F432)))))</f>
        <v>0</v>
      </c>
      <c r="O432" s="2" t="n">
        <f aca="false">IF(I432="",0,N(F432)-N432)</f>
        <v>0</v>
      </c>
      <c r="P432" s="2" t="str">
        <f aca="false">IF(A432="","",IF(AND(MONTH(A432)=4,DAY(A432)&lt;6),13,MOD(MONTH(A432)-4,12)+1))</f>
        <v/>
      </c>
    </row>
    <row r="433" customFormat="false" ht="15" hidden="false" customHeight="false" outlineLevel="0" collapsed="false">
      <c r="A433" s="21"/>
      <c r="B433" s="6"/>
      <c r="C433" s="6"/>
      <c r="D433" s="6"/>
      <c r="E433" s="6"/>
      <c r="F433" s="22"/>
      <c r="G433" s="23"/>
      <c r="H433" s="24" t="str">
        <f aca="false">IF(B433="","",IFERROR(INDEX('Start here'!$C$16:$C$20,MATCH(B433,'Start here'!$B$16:$B$20,0)),"Check vehicle"))</f>
        <v/>
      </c>
      <c r="I433" s="25" t="str">
        <f aca="false">IF(OR(F433="",H433&lt;&gt;"Car or van"),"",SUMIFS($F$6:F433,$H$6:H433,"Car or van"))</f>
        <v/>
      </c>
      <c r="J433" s="24" t="str">
        <f aca="false">IF(F433="","",IF(H433="Car or van",IF(O433=0,TEXT(INDEX('Notes and sources'!$C$6:$D$6,1,'Start here'!$C$11)*100,"0")&amp;"p",IF(N433=0,TEXT(INDEX('Notes and sources'!$C$7:$D$7,1,'Start here'!$C$11)*100,"0")&amp;"p",TEXT(INDEX('Notes and sources'!$C$6:$D$6,1,'Start here'!$C$11)*100,"0")&amp;"p/"&amp;TEXT(INDEX('Notes and sources'!$C$7:$D$7,1,'Start here'!$C$11)*100,"0")&amp;"p")),IF(H433="Motorcycle",TEXT(INDEX('Notes and sources'!$C$8:$D$8,1,'Start here'!$C$11)*100,"0")&amp;"p",IF(H433="Bicycle",TEXT(INDEX('Notes and sources'!$C$9:$D$9,1,'Start here'!$C$11)*100,"0")&amp;"p",""))))</f>
        <v/>
      </c>
      <c r="K433" s="26" t="str">
        <f aca="false">IF(F433="","",ROUND(IF(H433="Car or van",N433*INDEX('Notes and sources'!$C$6:$D$6,1,'Start here'!$C$11)+O433*INDEX('Notes and sources'!$C$7:$D$7,1,'Start here'!$C$11)+N(G433)*N(F433)*INDEX('Notes and sources'!$C$10:$D$10,1,'Start here'!$C$11),IF(H433="Motorcycle",N(F433)*INDEX('Notes and sources'!$C$8:$D$8,1,'Start here'!$C$11),IF(H433="Bicycle",N(F433)*INDEX('Notes and sources'!$C$9:$D$9,1,'Start here'!$C$11),0))),2))</f>
        <v/>
      </c>
      <c r="L433" s="27"/>
      <c r="N433" s="2" t="n">
        <f aca="false">IF(I433="",0,MAX(0,MIN(N(F433),INDEX('Notes and sources'!$C$12:$D$12,1,'Start here'!$C$11)-(I433-N(F433)))))</f>
        <v>0</v>
      </c>
      <c r="O433" s="2" t="n">
        <f aca="false">IF(I433="",0,N(F433)-N433)</f>
        <v>0</v>
      </c>
      <c r="P433" s="2" t="str">
        <f aca="false">IF(A433="","",IF(AND(MONTH(A433)=4,DAY(A433)&lt;6),13,MOD(MONTH(A433)-4,12)+1))</f>
        <v/>
      </c>
    </row>
    <row r="434" customFormat="false" ht="15" hidden="false" customHeight="false" outlineLevel="0" collapsed="false">
      <c r="A434" s="21"/>
      <c r="B434" s="6"/>
      <c r="C434" s="6"/>
      <c r="D434" s="6"/>
      <c r="E434" s="6"/>
      <c r="F434" s="22"/>
      <c r="G434" s="23"/>
      <c r="H434" s="24" t="str">
        <f aca="false">IF(B434="","",IFERROR(INDEX('Start here'!$C$16:$C$20,MATCH(B434,'Start here'!$B$16:$B$20,0)),"Check vehicle"))</f>
        <v/>
      </c>
      <c r="I434" s="25" t="str">
        <f aca="false">IF(OR(F434="",H434&lt;&gt;"Car or van"),"",SUMIFS($F$6:F434,$H$6:H434,"Car or van"))</f>
        <v/>
      </c>
      <c r="J434" s="24" t="str">
        <f aca="false">IF(F434="","",IF(H434="Car or van",IF(O434=0,TEXT(INDEX('Notes and sources'!$C$6:$D$6,1,'Start here'!$C$11)*100,"0")&amp;"p",IF(N434=0,TEXT(INDEX('Notes and sources'!$C$7:$D$7,1,'Start here'!$C$11)*100,"0")&amp;"p",TEXT(INDEX('Notes and sources'!$C$6:$D$6,1,'Start here'!$C$11)*100,"0")&amp;"p/"&amp;TEXT(INDEX('Notes and sources'!$C$7:$D$7,1,'Start here'!$C$11)*100,"0")&amp;"p")),IF(H434="Motorcycle",TEXT(INDEX('Notes and sources'!$C$8:$D$8,1,'Start here'!$C$11)*100,"0")&amp;"p",IF(H434="Bicycle",TEXT(INDEX('Notes and sources'!$C$9:$D$9,1,'Start here'!$C$11)*100,"0")&amp;"p",""))))</f>
        <v/>
      </c>
      <c r="K434" s="26" t="str">
        <f aca="false">IF(F434="","",ROUND(IF(H434="Car or van",N434*INDEX('Notes and sources'!$C$6:$D$6,1,'Start here'!$C$11)+O434*INDEX('Notes and sources'!$C$7:$D$7,1,'Start here'!$C$11)+N(G434)*N(F434)*INDEX('Notes and sources'!$C$10:$D$10,1,'Start here'!$C$11),IF(H434="Motorcycle",N(F434)*INDEX('Notes and sources'!$C$8:$D$8,1,'Start here'!$C$11),IF(H434="Bicycle",N(F434)*INDEX('Notes and sources'!$C$9:$D$9,1,'Start here'!$C$11),0))),2))</f>
        <v/>
      </c>
      <c r="L434" s="27"/>
      <c r="N434" s="2" t="n">
        <f aca="false">IF(I434="",0,MAX(0,MIN(N(F434),INDEX('Notes and sources'!$C$12:$D$12,1,'Start here'!$C$11)-(I434-N(F434)))))</f>
        <v>0</v>
      </c>
      <c r="O434" s="2" t="n">
        <f aca="false">IF(I434="",0,N(F434)-N434)</f>
        <v>0</v>
      </c>
      <c r="P434" s="2" t="str">
        <f aca="false">IF(A434="","",IF(AND(MONTH(A434)=4,DAY(A434)&lt;6),13,MOD(MONTH(A434)-4,12)+1))</f>
        <v/>
      </c>
    </row>
    <row r="435" customFormat="false" ht="15" hidden="false" customHeight="false" outlineLevel="0" collapsed="false">
      <c r="A435" s="21"/>
      <c r="B435" s="6"/>
      <c r="C435" s="6"/>
      <c r="D435" s="6"/>
      <c r="E435" s="6"/>
      <c r="F435" s="22"/>
      <c r="G435" s="23"/>
      <c r="H435" s="24" t="str">
        <f aca="false">IF(B435="","",IFERROR(INDEX('Start here'!$C$16:$C$20,MATCH(B435,'Start here'!$B$16:$B$20,0)),"Check vehicle"))</f>
        <v/>
      </c>
      <c r="I435" s="25" t="str">
        <f aca="false">IF(OR(F435="",H435&lt;&gt;"Car or van"),"",SUMIFS($F$6:F435,$H$6:H435,"Car or van"))</f>
        <v/>
      </c>
      <c r="J435" s="24" t="str">
        <f aca="false">IF(F435="","",IF(H435="Car or van",IF(O435=0,TEXT(INDEX('Notes and sources'!$C$6:$D$6,1,'Start here'!$C$11)*100,"0")&amp;"p",IF(N435=0,TEXT(INDEX('Notes and sources'!$C$7:$D$7,1,'Start here'!$C$11)*100,"0")&amp;"p",TEXT(INDEX('Notes and sources'!$C$6:$D$6,1,'Start here'!$C$11)*100,"0")&amp;"p/"&amp;TEXT(INDEX('Notes and sources'!$C$7:$D$7,1,'Start here'!$C$11)*100,"0")&amp;"p")),IF(H435="Motorcycle",TEXT(INDEX('Notes and sources'!$C$8:$D$8,1,'Start here'!$C$11)*100,"0")&amp;"p",IF(H435="Bicycle",TEXT(INDEX('Notes and sources'!$C$9:$D$9,1,'Start here'!$C$11)*100,"0")&amp;"p",""))))</f>
        <v/>
      </c>
      <c r="K435" s="26" t="str">
        <f aca="false">IF(F435="","",ROUND(IF(H435="Car or van",N435*INDEX('Notes and sources'!$C$6:$D$6,1,'Start here'!$C$11)+O435*INDEX('Notes and sources'!$C$7:$D$7,1,'Start here'!$C$11)+N(G435)*N(F435)*INDEX('Notes and sources'!$C$10:$D$10,1,'Start here'!$C$11),IF(H435="Motorcycle",N(F435)*INDEX('Notes and sources'!$C$8:$D$8,1,'Start here'!$C$11),IF(H435="Bicycle",N(F435)*INDEX('Notes and sources'!$C$9:$D$9,1,'Start here'!$C$11),0))),2))</f>
        <v/>
      </c>
      <c r="L435" s="27"/>
      <c r="N435" s="2" t="n">
        <f aca="false">IF(I435="",0,MAX(0,MIN(N(F435),INDEX('Notes and sources'!$C$12:$D$12,1,'Start here'!$C$11)-(I435-N(F435)))))</f>
        <v>0</v>
      </c>
      <c r="O435" s="2" t="n">
        <f aca="false">IF(I435="",0,N(F435)-N435)</f>
        <v>0</v>
      </c>
      <c r="P435" s="2" t="str">
        <f aca="false">IF(A435="","",IF(AND(MONTH(A435)=4,DAY(A435)&lt;6),13,MOD(MONTH(A435)-4,12)+1))</f>
        <v/>
      </c>
    </row>
    <row r="436" customFormat="false" ht="15" hidden="false" customHeight="false" outlineLevel="0" collapsed="false">
      <c r="A436" s="21"/>
      <c r="B436" s="6"/>
      <c r="C436" s="6"/>
      <c r="D436" s="6"/>
      <c r="E436" s="6"/>
      <c r="F436" s="22"/>
      <c r="G436" s="23"/>
      <c r="H436" s="24" t="str">
        <f aca="false">IF(B436="","",IFERROR(INDEX('Start here'!$C$16:$C$20,MATCH(B436,'Start here'!$B$16:$B$20,0)),"Check vehicle"))</f>
        <v/>
      </c>
      <c r="I436" s="25" t="str">
        <f aca="false">IF(OR(F436="",H436&lt;&gt;"Car or van"),"",SUMIFS($F$6:F436,$H$6:H436,"Car or van"))</f>
        <v/>
      </c>
      <c r="J436" s="24" t="str">
        <f aca="false">IF(F436="","",IF(H436="Car or van",IF(O436=0,TEXT(INDEX('Notes and sources'!$C$6:$D$6,1,'Start here'!$C$11)*100,"0")&amp;"p",IF(N436=0,TEXT(INDEX('Notes and sources'!$C$7:$D$7,1,'Start here'!$C$11)*100,"0")&amp;"p",TEXT(INDEX('Notes and sources'!$C$6:$D$6,1,'Start here'!$C$11)*100,"0")&amp;"p/"&amp;TEXT(INDEX('Notes and sources'!$C$7:$D$7,1,'Start here'!$C$11)*100,"0")&amp;"p")),IF(H436="Motorcycle",TEXT(INDEX('Notes and sources'!$C$8:$D$8,1,'Start here'!$C$11)*100,"0")&amp;"p",IF(H436="Bicycle",TEXT(INDEX('Notes and sources'!$C$9:$D$9,1,'Start here'!$C$11)*100,"0")&amp;"p",""))))</f>
        <v/>
      </c>
      <c r="K436" s="26" t="str">
        <f aca="false">IF(F436="","",ROUND(IF(H436="Car or van",N436*INDEX('Notes and sources'!$C$6:$D$6,1,'Start here'!$C$11)+O436*INDEX('Notes and sources'!$C$7:$D$7,1,'Start here'!$C$11)+N(G436)*N(F436)*INDEX('Notes and sources'!$C$10:$D$10,1,'Start here'!$C$11),IF(H436="Motorcycle",N(F436)*INDEX('Notes and sources'!$C$8:$D$8,1,'Start here'!$C$11),IF(H436="Bicycle",N(F436)*INDEX('Notes and sources'!$C$9:$D$9,1,'Start here'!$C$11),0))),2))</f>
        <v/>
      </c>
      <c r="L436" s="27"/>
      <c r="N436" s="2" t="n">
        <f aca="false">IF(I436="",0,MAX(0,MIN(N(F436),INDEX('Notes and sources'!$C$12:$D$12,1,'Start here'!$C$11)-(I436-N(F436)))))</f>
        <v>0</v>
      </c>
      <c r="O436" s="2" t="n">
        <f aca="false">IF(I436="",0,N(F436)-N436)</f>
        <v>0</v>
      </c>
      <c r="P436" s="2" t="str">
        <f aca="false">IF(A436="","",IF(AND(MONTH(A436)=4,DAY(A436)&lt;6),13,MOD(MONTH(A436)-4,12)+1))</f>
        <v/>
      </c>
    </row>
    <row r="437" customFormat="false" ht="15" hidden="false" customHeight="false" outlineLevel="0" collapsed="false">
      <c r="A437" s="21"/>
      <c r="B437" s="6"/>
      <c r="C437" s="6"/>
      <c r="D437" s="6"/>
      <c r="E437" s="6"/>
      <c r="F437" s="22"/>
      <c r="G437" s="23"/>
      <c r="H437" s="24" t="str">
        <f aca="false">IF(B437="","",IFERROR(INDEX('Start here'!$C$16:$C$20,MATCH(B437,'Start here'!$B$16:$B$20,0)),"Check vehicle"))</f>
        <v/>
      </c>
      <c r="I437" s="25" t="str">
        <f aca="false">IF(OR(F437="",H437&lt;&gt;"Car or van"),"",SUMIFS($F$6:F437,$H$6:H437,"Car or van"))</f>
        <v/>
      </c>
      <c r="J437" s="24" t="str">
        <f aca="false">IF(F437="","",IF(H437="Car or van",IF(O437=0,TEXT(INDEX('Notes and sources'!$C$6:$D$6,1,'Start here'!$C$11)*100,"0")&amp;"p",IF(N437=0,TEXT(INDEX('Notes and sources'!$C$7:$D$7,1,'Start here'!$C$11)*100,"0")&amp;"p",TEXT(INDEX('Notes and sources'!$C$6:$D$6,1,'Start here'!$C$11)*100,"0")&amp;"p/"&amp;TEXT(INDEX('Notes and sources'!$C$7:$D$7,1,'Start here'!$C$11)*100,"0")&amp;"p")),IF(H437="Motorcycle",TEXT(INDEX('Notes and sources'!$C$8:$D$8,1,'Start here'!$C$11)*100,"0")&amp;"p",IF(H437="Bicycle",TEXT(INDEX('Notes and sources'!$C$9:$D$9,1,'Start here'!$C$11)*100,"0")&amp;"p",""))))</f>
        <v/>
      </c>
      <c r="K437" s="26" t="str">
        <f aca="false">IF(F437="","",ROUND(IF(H437="Car or van",N437*INDEX('Notes and sources'!$C$6:$D$6,1,'Start here'!$C$11)+O437*INDEX('Notes and sources'!$C$7:$D$7,1,'Start here'!$C$11)+N(G437)*N(F437)*INDEX('Notes and sources'!$C$10:$D$10,1,'Start here'!$C$11),IF(H437="Motorcycle",N(F437)*INDEX('Notes and sources'!$C$8:$D$8,1,'Start here'!$C$11),IF(H437="Bicycle",N(F437)*INDEX('Notes and sources'!$C$9:$D$9,1,'Start here'!$C$11),0))),2))</f>
        <v/>
      </c>
      <c r="L437" s="27"/>
      <c r="N437" s="2" t="n">
        <f aca="false">IF(I437="",0,MAX(0,MIN(N(F437),INDEX('Notes and sources'!$C$12:$D$12,1,'Start here'!$C$11)-(I437-N(F437)))))</f>
        <v>0</v>
      </c>
      <c r="O437" s="2" t="n">
        <f aca="false">IF(I437="",0,N(F437)-N437)</f>
        <v>0</v>
      </c>
      <c r="P437" s="2" t="str">
        <f aca="false">IF(A437="","",IF(AND(MONTH(A437)=4,DAY(A437)&lt;6),13,MOD(MONTH(A437)-4,12)+1))</f>
        <v/>
      </c>
    </row>
    <row r="438" customFormat="false" ht="15" hidden="false" customHeight="false" outlineLevel="0" collapsed="false">
      <c r="A438" s="21"/>
      <c r="B438" s="6"/>
      <c r="C438" s="6"/>
      <c r="D438" s="6"/>
      <c r="E438" s="6"/>
      <c r="F438" s="22"/>
      <c r="G438" s="23"/>
      <c r="H438" s="24" t="str">
        <f aca="false">IF(B438="","",IFERROR(INDEX('Start here'!$C$16:$C$20,MATCH(B438,'Start here'!$B$16:$B$20,0)),"Check vehicle"))</f>
        <v/>
      </c>
      <c r="I438" s="25" t="str">
        <f aca="false">IF(OR(F438="",H438&lt;&gt;"Car or van"),"",SUMIFS($F$6:F438,$H$6:H438,"Car or van"))</f>
        <v/>
      </c>
      <c r="J438" s="24" t="str">
        <f aca="false">IF(F438="","",IF(H438="Car or van",IF(O438=0,TEXT(INDEX('Notes and sources'!$C$6:$D$6,1,'Start here'!$C$11)*100,"0")&amp;"p",IF(N438=0,TEXT(INDEX('Notes and sources'!$C$7:$D$7,1,'Start here'!$C$11)*100,"0")&amp;"p",TEXT(INDEX('Notes and sources'!$C$6:$D$6,1,'Start here'!$C$11)*100,"0")&amp;"p/"&amp;TEXT(INDEX('Notes and sources'!$C$7:$D$7,1,'Start here'!$C$11)*100,"0")&amp;"p")),IF(H438="Motorcycle",TEXT(INDEX('Notes and sources'!$C$8:$D$8,1,'Start here'!$C$11)*100,"0")&amp;"p",IF(H438="Bicycle",TEXT(INDEX('Notes and sources'!$C$9:$D$9,1,'Start here'!$C$11)*100,"0")&amp;"p",""))))</f>
        <v/>
      </c>
      <c r="K438" s="26" t="str">
        <f aca="false">IF(F438="","",ROUND(IF(H438="Car or van",N438*INDEX('Notes and sources'!$C$6:$D$6,1,'Start here'!$C$11)+O438*INDEX('Notes and sources'!$C$7:$D$7,1,'Start here'!$C$11)+N(G438)*N(F438)*INDEX('Notes and sources'!$C$10:$D$10,1,'Start here'!$C$11),IF(H438="Motorcycle",N(F438)*INDEX('Notes and sources'!$C$8:$D$8,1,'Start here'!$C$11),IF(H438="Bicycle",N(F438)*INDEX('Notes and sources'!$C$9:$D$9,1,'Start here'!$C$11),0))),2))</f>
        <v/>
      </c>
      <c r="L438" s="27"/>
      <c r="N438" s="2" t="n">
        <f aca="false">IF(I438="",0,MAX(0,MIN(N(F438),INDEX('Notes and sources'!$C$12:$D$12,1,'Start here'!$C$11)-(I438-N(F438)))))</f>
        <v>0</v>
      </c>
      <c r="O438" s="2" t="n">
        <f aca="false">IF(I438="",0,N(F438)-N438)</f>
        <v>0</v>
      </c>
      <c r="P438" s="2" t="str">
        <f aca="false">IF(A438="","",IF(AND(MONTH(A438)=4,DAY(A438)&lt;6),13,MOD(MONTH(A438)-4,12)+1))</f>
        <v/>
      </c>
    </row>
    <row r="439" customFormat="false" ht="15" hidden="false" customHeight="false" outlineLevel="0" collapsed="false">
      <c r="A439" s="21"/>
      <c r="B439" s="6"/>
      <c r="C439" s="6"/>
      <c r="D439" s="6"/>
      <c r="E439" s="6"/>
      <c r="F439" s="22"/>
      <c r="G439" s="23"/>
      <c r="H439" s="24" t="str">
        <f aca="false">IF(B439="","",IFERROR(INDEX('Start here'!$C$16:$C$20,MATCH(B439,'Start here'!$B$16:$B$20,0)),"Check vehicle"))</f>
        <v/>
      </c>
      <c r="I439" s="25" t="str">
        <f aca="false">IF(OR(F439="",H439&lt;&gt;"Car or van"),"",SUMIFS($F$6:F439,$H$6:H439,"Car or van"))</f>
        <v/>
      </c>
      <c r="J439" s="24" t="str">
        <f aca="false">IF(F439="","",IF(H439="Car or van",IF(O439=0,TEXT(INDEX('Notes and sources'!$C$6:$D$6,1,'Start here'!$C$11)*100,"0")&amp;"p",IF(N439=0,TEXT(INDEX('Notes and sources'!$C$7:$D$7,1,'Start here'!$C$11)*100,"0")&amp;"p",TEXT(INDEX('Notes and sources'!$C$6:$D$6,1,'Start here'!$C$11)*100,"0")&amp;"p/"&amp;TEXT(INDEX('Notes and sources'!$C$7:$D$7,1,'Start here'!$C$11)*100,"0")&amp;"p")),IF(H439="Motorcycle",TEXT(INDEX('Notes and sources'!$C$8:$D$8,1,'Start here'!$C$11)*100,"0")&amp;"p",IF(H439="Bicycle",TEXT(INDEX('Notes and sources'!$C$9:$D$9,1,'Start here'!$C$11)*100,"0")&amp;"p",""))))</f>
        <v/>
      </c>
      <c r="K439" s="26" t="str">
        <f aca="false">IF(F439="","",ROUND(IF(H439="Car or van",N439*INDEX('Notes and sources'!$C$6:$D$6,1,'Start here'!$C$11)+O439*INDEX('Notes and sources'!$C$7:$D$7,1,'Start here'!$C$11)+N(G439)*N(F439)*INDEX('Notes and sources'!$C$10:$D$10,1,'Start here'!$C$11),IF(H439="Motorcycle",N(F439)*INDEX('Notes and sources'!$C$8:$D$8,1,'Start here'!$C$11),IF(H439="Bicycle",N(F439)*INDEX('Notes and sources'!$C$9:$D$9,1,'Start here'!$C$11),0))),2))</f>
        <v/>
      </c>
      <c r="L439" s="27"/>
      <c r="N439" s="2" t="n">
        <f aca="false">IF(I439="",0,MAX(0,MIN(N(F439),INDEX('Notes and sources'!$C$12:$D$12,1,'Start here'!$C$11)-(I439-N(F439)))))</f>
        <v>0</v>
      </c>
      <c r="O439" s="2" t="n">
        <f aca="false">IF(I439="",0,N(F439)-N439)</f>
        <v>0</v>
      </c>
      <c r="P439" s="2" t="str">
        <f aca="false">IF(A439="","",IF(AND(MONTH(A439)=4,DAY(A439)&lt;6),13,MOD(MONTH(A439)-4,12)+1))</f>
        <v/>
      </c>
    </row>
    <row r="440" customFormat="false" ht="15" hidden="false" customHeight="false" outlineLevel="0" collapsed="false">
      <c r="A440" s="21"/>
      <c r="B440" s="6"/>
      <c r="C440" s="6"/>
      <c r="D440" s="6"/>
      <c r="E440" s="6"/>
      <c r="F440" s="22"/>
      <c r="G440" s="23"/>
      <c r="H440" s="24" t="str">
        <f aca="false">IF(B440="","",IFERROR(INDEX('Start here'!$C$16:$C$20,MATCH(B440,'Start here'!$B$16:$B$20,0)),"Check vehicle"))</f>
        <v/>
      </c>
      <c r="I440" s="25" t="str">
        <f aca="false">IF(OR(F440="",H440&lt;&gt;"Car or van"),"",SUMIFS($F$6:F440,$H$6:H440,"Car or van"))</f>
        <v/>
      </c>
      <c r="J440" s="24" t="str">
        <f aca="false">IF(F440="","",IF(H440="Car or van",IF(O440=0,TEXT(INDEX('Notes and sources'!$C$6:$D$6,1,'Start here'!$C$11)*100,"0")&amp;"p",IF(N440=0,TEXT(INDEX('Notes and sources'!$C$7:$D$7,1,'Start here'!$C$11)*100,"0")&amp;"p",TEXT(INDEX('Notes and sources'!$C$6:$D$6,1,'Start here'!$C$11)*100,"0")&amp;"p/"&amp;TEXT(INDEX('Notes and sources'!$C$7:$D$7,1,'Start here'!$C$11)*100,"0")&amp;"p")),IF(H440="Motorcycle",TEXT(INDEX('Notes and sources'!$C$8:$D$8,1,'Start here'!$C$11)*100,"0")&amp;"p",IF(H440="Bicycle",TEXT(INDEX('Notes and sources'!$C$9:$D$9,1,'Start here'!$C$11)*100,"0")&amp;"p",""))))</f>
        <v/>
      </c>
      <c r="K440" s="26" t="str">
        <f aca="false">IF(F440="","",ROUND(IF(H440="Car or van",N440*INDEX('Notes and sources'!$C$6:$D$6,1,'Start here'!$C$11)+O440*INDEX('Notes and sources'!$C$7:$D$7,1,'Start here'!$C$11)+N(G440)*N(F440)*INDEX('Notes and sources'!$C$10:$D$10,1,'Start here'!$C$11),IF(H440="Motorcycle",N(F440)*INDEX('Notes and sources'!$C$8:$D$8,1,'Start here'!$C$11),IF(H440="Bicycle",N(F440)*INDEX('Notes and sources'!$C$9:$D$9,1,'Start here'!$C$11),0))),2))</f>
        <v/>
      </c>
      <c r="L440" s="27"/>
      <c r="N440" s="2" t="n">
        <f aca="false">IF(I440="",0,MAX(0,MIN(N(F440),INDEX('Notes and sources'!$C$12:$D$12,1,'Start here'!$C$11)-(I440-N(F440)))))</f>
        <v>0</v>
      </c>
      <c r="O440" s="2" t="n">
        <f aca="false">IF(I440="",0,N(F440)-N440)</f>
        <v>0</v>
      </c>
      <c r="P440" s="2" t="str">
        <f aca="false">IF(A440="","",IF(AND(MONTH(A440)=4,DAY(A440)&lt;6),13,MOD(MONTH(A440)-4,12)+1))</f>
        <v/>
      </c>
    </row>
    <row r="441" customFormat="false" ht="15" hidden="false" customHeight="false" outlineLevel="0" collapsed="false">
      <c r="A441" s="21"/>
      <c r="B441" s="6"/>
      <c r="C441" s="6"/>
      <c r="D441" s="6"/>
      <c r="E441" s="6"/>
      <c r="F441" s="22"/>
      <c r="G441" s="23"/>
      <c r="H441" s="24" t="str">
        <f aca="false">IF(B441="","",IFERROR(INDEX('Start here'!$C$16:$C$20,MATCH(B441,'Start here'!$B$16:$B$20,0)),"Check vehicle"))</f>
        <v/>
      </c>
      <c r="I441" s="25" t="str">
        <f aca="false">IF(OR(F441="",H441&lt;&gt;"Car or van"),"",SUMIFS($F$6:F441,$H$6:H441,"Car or van"))</f>
        <v/>
      </c>
      <c r="J441" s="24" t="str">
        <f aca="false">IF(F441="","",IF(H441="Car or van",IF(O441=0,TEXT(INDEX('Notes and sources'!$C$6:$D$6,1,'Start here'!$C$11)*100,"0")&amp;"p",IF(N441=0,TEXT(INDEX('Notes and sources'!$C$7:$D$7,1,'Start here'!$C$11)*100,"0")&amp;"p",TEXT(INDEX('Notes and sources'!$C$6:$D$6,1,'Start here'!$C$11)*100,"0")&amp;"p/"&amp;TEXT(INDEX('Notes and sources'!$C$7:$D$7,1,'Start here'!$C$11)*100,"0")&amp;"p")),IF(H441="Motorcycle",TEXT(INDEX('Notes and sources'!$C$8:$D$8,1,'Start here'!$C$11)*100,"0")&amp;"p",IF(H441="Bicycle",TEXT(INDEX('Notes and sources'!$C$9:$D$9,1,'Start here'!$C$11)*100,"0")&amp;"p",""))))</f>
        <v/>
      </c>
      <c r="K441" s="26" t="str">
        <f aca="false">IF(F441="","",ROUND(IF(H441="Car or van",N441*INDEX('Notes and sources'!$C$6:$D$6,1,'Start here'!$C$11)+O441*INDEX('Notes and sources'!$C$7:$D$7,1,'Start here'!$C$11)+N(G441)*N(F441)*INDEX('Notes and sources'!$C$10:$D$10,1,'Start here'!$C$11),IF(H441="Motorcycle",N(F441)*INDEX('Notes and sources'!$C$8:$D$8,1,'Start here'!$C$11),IF(H441="Bicycle",N(F441)*INDEX('Notes and sources'!$C$9:$D$9,1,'Start here'!$C$11),0))),2))</f>
        <v/>
      </c>
      <c r="L441" s="27"/>
      <c r="N441" s="2" t="n">
        <f aca="false">IF(I441="",0,MAX(0,MIN(N(F441),INDEX('Notes and sources'!$C$12:$D$12,1,'Start here'!$C$11)-(I441-N(F441)))))</f>
        <v>0</v>
      </c>
      <c r="O441" s="2" t="n">
        <f aca="false">IF(I441="",0,N(F441)-N441)</f>
        <v>0</v>
      </c>
      <c r="P441" s="2" t="str">
        <f aca="false">IF(A441="","",IF(AND(MONTH(A441)=4,DAY(A441)&lt;6),13,MOD(MONTH(A441)-4,12)+1))</f>
        <v/>
      </c>
    </row>
    <row r="442" customFormat="false" ht="15" hidden="false" customHeight="false" outlineLevel="0" collapsed="false">
      <c r="A442" s="21"/>
      <c r="B442" s="6"/>
      <c r="C442" s="6"/>
      <c r="D442" s="6"/>
      <c r="E442" s="6"/>
      <c r="F442" s="22"/>
      <c r="G442" s="23"/>
      <c r="H442" s="24" t="str">
        <f aca="false">IF(B442="","",IFERROR(INDEX('Start here'!$C$16:$C$20,MATCH(B442,'Start here'!$B$16:$B$20,0)),"Check vehicle"))</f>
        <v/>
      </c>
      <c r="I442" s="25" t="str">
        <f aca="false">IF(OR(F442="",H442&lt;&gt;"Car or van"),"",SUMIFS($F$6:F442,$H$6:H442,"Car or van"))</f>
        <v/>
      </c>
      <c r="J442" s="24" t="str">
        <f aca="false">IF(F442="","",IF(H442="Car or van",IF(O442=0,TEXT(INDEX('Notes and sources'!$C$6:$D$6,1,'Start here'!$C$11)*100,"0")&amp;"p",IF(N442=0,TEXT(INDEX('Notes and sources'!$C$7:$D$7,1,'Start here'!$C$11)*100,"0")&amp;"p",TEXT(INDEX('Notes and sources'!$C$6:$D$6,1,'Start here'!$C$11)*100,"0")&amp;"p/"&amp;TEXT(INDEX('Notes and sources'!$C$7:$D$7,1,'Start here'!$C$11)*100,"0")&amp;"p")),IF(H442="Motorcycle",TEXT(INDEX('Notes and sources'!$C$8:$D$8,1,'Start here'!$C$11)*100,"0")&amp;"p",IF(H442="Bicycle",TEXT(INDEX('Notes and sources'!$C$9:$D$9,1,'Start here'!$C$11)*100,"0")&amp;"p",""))))</f>
        <v/>
      </c>
      <c r="K442" s="26" t="str">
        <f aca="false">IF(F442="","",ROUND(IF(H442="Car or van",N442*INDEX('Notes and sources'!$C$6:$D$6,1,'Start here'!$C$11)+O442*INDEX('Notes and sources'!$C$7:$D$7,1,'Start here'!$C$11)+N(G442)*N(F442)*INDEX('Notes and sources'!$C$10:$D$10,1,'Start here'!$C$11),IF(H442="Motorcycle",N(F442)*INDEX('Notes and sources'!$C$8:$D$8,1,'Start here'!$C$11),IF(H442="Bicycle",N(F442)*INDEX('Notes and sources'!$C$9:$D$9,1,'Start here'!$C$11),0))),2))</f>
        <v/>
      </c>
      <c r="L442" s="27"/>
      <c r="N442" s="2" t="n">
        <f aca="false">IF(I442="",0,MAX(0,MIN(N(F442),INDEX('Notes and sources'!$C$12:$D$12,1,'Start here'!$C$11)-(I442-N(F442)))))</f>
        <v>0</v>
      </c>
      <c r="O442" s="2" t="n">
        <f aca="false">IF(I442="",0,N(F442)-N442)</f>
        <v>0</v>
      </c>
      <c r="P442" s="2" t="str">
        <f aca="false">IF(A442="","",IF(AND(MONTH(A442)=4,DAY(A442)&lt;6),13,MOD(MONTH(A442)-4,12)+1))</f>
        <v/>
      </c>
    </row>
    <row r="443" customFormat="false" ht="15" hidden="false" customHeight="false" outlineLevel="0" collapsed="false">
      <c r="A443" s="21"/>
      <c r="B443" s="6"/>
      <c r="C443" s="6"/>
      <c r="D443" s="6"/>
      <c r="E443" s="6"/>
      <c r="F443" s="22"/>
      <c r="G443" s="23"/>
      <c r="H443" s="24" t="str">
        <f aca="false">IF(B443="","",IFERROR(INDEX('Start here'!$C$16:$C$20,MATCH(B443,'Start here'!$B$16:$B$20,0)),"Check vehicle"))</f>
        <v/>
      </c>
      <c r="I443" s="25" t="str">
        <f aca="false">IF(OR(F443="",H443&lt;&gt;"Car or van"),"",SUMIFS($F$6:F443,$H$6:H443,"Car or van"))</f>
        <v/>
      </c>
      <c r="J443" s="24" t="str">
        <f aca="false">IF(F443="","",IF(H443="Car or van",IF(O443=0,TEXT(INDEX('Notes and sources'!$C$6:$D$6,1,'Start here'!$C$11)*100,"0")&amp;"p",IF(N443=0,TEXT(INDEX('Notes and sources'!$C$7:$D$7,1,'Start here'!$C$11)*100,"0")&amp;"p",TEXT(INDEX('Notes and sources'!$C$6:$D$6,1,'Start here'!$C$11)*100,"0")&amp;"p/"&amp;TEXT(INDEX('Notes and sources'!$C$7:$D$7,1,'Start here'!$C$11)*100,"0")&amp;"p")),IF(H443="Motorcycle",TEXT(INDEX('Notes and sources'!$C$8:$D$8,1,'Start here'!$C$11)*100,"0")&amp;"p",IF(H443="Bicycle",TEXT(INDEX('Notes and sources'!$C$9:$D$9,1,'Start here'!$C$11)*100,"0")&amp;"p",""))))</f>
        <v/>
      </c>
      <c r="K443" s="26" t="str">
        <f aca="false">IF(F443="","",ROUND(IF(H443="Car or van",N443*INDEX('Notes and sources'!$C$6:$D$6,1,'Start here'!$C$11)+O443*INDEX('Notes and sources'!$C$7:$D$7,1,'Start here'!$C$11)+N(G443)*N(F443)*INDEX('Notes and sources'!$C$10:$D$10,1,'Start here'!$C$11),IF(H443="Motorcycle",N(F443)*INDEX('Notes and sources'!$C$8:$D$8,1,'Start here'!$C$11),IF(H443="Bicycle",N(F443)*INDEX('Notes and sources'!$C$9:$D$9,1,'Start here'!$C$11),0))),2))</f>
        <v/>
      </c>
      <c r="L443" s="27"/>
      <c r="N443" s="2" t="n">
        <f aca="false">IF(I443="",0,MAX(0,MIN(N(F443),INDEX('Notes and sources'!$C$12:$D$12,1,'Start here'!$C$11)-(I443-N(F443)))))</f>
        <v>0</v>
      </c>
      <c r="O443" s="2" t="n">
        <f aca="false">IF(I443="",0,N(F443)-N443)</f>
        <v>0</v>
      </c>
      <c r="P443" s="2" t="str">
        <f aca="false">IF(A443="","",IF(AND(MONTH(A443)=4,DAY(A443)&lt;6),13,MOD(MONTH(A443)-4,12)+1))</f>
        <v/>
      </c>
    </row>
    <row r="444" customFormat="false" ht="15" hidden="false" customHeight="false" outlineLevel="0" collapsed="false">
      <c r="A444" s="21"/>
      <c r="B444" s="6"/>
      <c r="C444" s="6"/>
      <c r="D444" s="6"/>
      <c r="E444" s="6"/>
      <c r="F444" s="22"/>
      <c r="G444" s="23"/>
      <c r="H444" s="24" t="str">
        <f aca="false">IF(B444="","",IFERROR(INDEX('Start here'!$C$16:$C$20,MATCH(B444,'Start here'!$B$16:$B$20,0)),"Check vehicle"))</f>
        <v/>
      </c>
      <c r="I444" s="25" t="str">
        <f aca="false">IF(OR(F444="",H444&lt;&gt;"Car or van"),"",SUMIFS($F$6:F444,$H$6:H444,"Car or van"))</f>
        <v/>
      </c>
      <c r="J444" s="24" t="str">
        <f aca="false">IF(F444="","",IF(H444="Car or van",IF(O444=0,TEXT(INDEX('Notes and sources'!$C$6:$D$6,1,'Start here'!$C$11)*100,"0")&amp;"p",IF(N444=0,TEXT(INDEX('Notes and sources'!$C$7:$D$7,1,'Start here'!$C$11)*100,"0")&amp;"p",TEXT(INDEX('Notes and sources'!$C$6:$D$6,1,'Start here'!$C$11)*100,"0")&amp;"p/"&amp;TEXT(INDEX('Notes and sources'!$C$7:$D$7,1,'Start here'!$C$11)*100,"0")&amp;"p")),IF(H444="Motorcycle",TEXT(INDEX('Notes and sources'!$C$8:$D$8,1,'Start here'!$C$11)*100,"0")&amp;"p",IF(H444="Bicycle",TEXT(INDEX('Notes and sources'!$C$9:$D$9,1,'Start here'!$C$11)*100,"0")&amp;"p",""))))</f>
        <v/>
      </c>
      <c r="K444" s="26" t="str">
        <f aca="false">IF(F444="","",ROUND(IF(H444="Car or van",N444*INDEX('Notes and sources'!$C$6:$D$6,1,'Start here'!$C$11)+O444*INDEX('Notes and sources'!$C$7:$D$7,1,'Start here'!$C$11)+N(G444)*N(F444)*INDEX('Notes and sources'!$C$10:$D$10,1,'Start here'!$C$11),IF(H444="Motorcycle",N(F444)*INDEX('Notes and sources'!$C$8:$D$8,1,'Start here'!$C$11),IF(H444="Bicycle",N(F444)*INDEX('Notes and sources'!$C$9:$D$9,1,'Start here'!$C$11),0))),2))</f>
        <v/>
      </c>
      <c r="L444" s="27"/>
      <c r="N444" s="2" t="n">
        <f aca="false">IF(I444="",0,MAX(0,MIN(N(F444),INDEX('Notes and sources'!$C$12:$D$12,1,'Start here'!$C$11)-(I444-N(F444)))))</f>
        <v>0</v>
      </c>
      <c r="O444" s="2" t="n">
        <f aca="false">IF(I444="",0,N(F444)-N444)</f>
        <v>0</v>
      </c>
      <c r="P444" s="2" t="str">
        <f aca="false">IF(A444="","",IF(AND(MONTH(A444)=4,DAY(A444)&lt;6),13,MOD(MONTH(A444)-4,12)+1))</f>
        <v/>
      </c>
    </row>
    <row r="445" customFormat="false" ht="15" hidden="false" customHeight="false" outlineLevel="0" collapsed="false">
      <c r="A445" s="21"/>
      <c r="B445" s="6"/>
      <c r="C445" s="6"/>
      <c r="D445" s="6"/>
      <c r="E445" s="6"/>
      <c r="F445" s="22"/>
      <c r="G445" s="23"/>
      <c r="H445" s="24" t="str">
        <f aca="false">IF(B445="","",IFERROR(INDEX('Start here'!$C$16:$C$20,MATCH(B445,'Start here'!$B$16:$B$20,0)),"Check vehicle"))</f>
        <v/>
      </c>
      <c r="I445" s="25" t="str">
        <f aca="false">IF(OR(F445="",H445&lt;&gt;"Car or van"),"",SUMIFS($F$6:F445,$H$6:H445,"Car or van"))</f>
        <v/>
      </c>
      <c r="J445" s="24" t="str">
        <f aca="false">IF(F445="","",IF(H445="Car or van",IF(O445=0,TEXT(INDEX('Notes and sources'!$C$6:$D$6,1,'Start here'!$C$11)*100,"0")&amp;"p",IF(N445=0,TEXT(INDEX('Notes and sources'!$C$7:$D$7,1,'Start here'!$C$11)*100,"0")&amp;"p",TEXT(INDEX('Notes and sources'!$C$6:$D$6,1,'Start here'!$C$11)*100,"0")&amp;"p/"&amp;TEXT(INDEX('Notes and sources'!$C$7:$D$7,1,'Start here'!$C$11)*100,"0")&amp;"p")),IF(H445="Motorcycle",TEXT(INDEX('Notes and sources'!$C$8:$D$8,1,'Start here'!$C$11)*100,"0")&amp;"p",IF(H445="Bicycle",TEXT(INDEX('Notes and sources'!$C$9:$D$9,1,'Start here'!$C$11)*100,"0")&amp;"p",""))))</f>
        <v/>
      </c>
      <c r="K445" s="26" t="str">
        <f aca="false">IF(F445="","",ROUND(IF(H445="Car or van",N445*INDEX('Notes and sources'!$C$6:$D$6,1,'Start here'!$C$11)+O445*INDEX('Notes and sources'!$C$7:$D$7,1,'Start here'!$C$11)+N(G445)*N(F445)*INDEX('Notes and sources'!$C$10:$D$10,1,'Start here'!$C$11),IF(H445="Motorcycle",N(F445)*INDEX('Notes and sources'!$C$8:$D$8,1,'Start here'!$C$11),IF(H445="Bicycle",N(F445)*INDEX('Notes and sources'!$C$9:$D$9,1,'Start here'!$C$11),0))),2))</f>
        <v/>
      </c>
      <c r="L445" s="27"/>
      <c r="N445" s="2" t="n">
        <f aca="false">IF(I445="",0,MAX(0,MIN(N(F445),INDEX('Notes and sources'!$C$12:$D$12,1,'Start here'!$C$11)-(I445-N(F445)))))</f>
        <v>0</v>
      </c>
      <c r="O445" s="2" t="n">
        <f aca="false">IF(I445="",0,N(F445)-N445)</f>
        <v>0</v>
      </c>
      <c r="P445" s="2" t="str">
        <f aca="false">IF(A445="","",IF(AND(MONTH(A445)=4,DAY(A445)&lt;6),13,MOD(MONTH(A445)-4,12)+1))</f>
        <v/>
      </c>
    </row>
    <row r="446" customFormat="false" ht="15" hidden="false" customHeight="false" outlineLevel="0" collapsed="false">
      <c r="A446" s="21"/>
      <c r="B446" s="6"/>
      <c r="C446" s="6"/>
      <c r="D446" s="6"/>
      <c r="E446" s="6"/>
      <c r="F446" s="22"/>
      <c r="G446" s="23"/>
      <c r="H446" s="24" t="str">
        <f aca="false">IF(B446="","",IFERROR(INDEX('Start here'!$C$16:$C$20,MATCH(B446,'Start here'!$B$16:$B$20,0)),"Check vehicle"))</f>
        <v/>
      </c>
      <c r="I446" s="25" t="str">
        <f aca="false">IF(OR(F446="",H446&lt;&gt;"Car or van"),"",SUMIFS($F$6:F446,$H$6:H446,"Car or van"))</f>
        <v/>
      </c>
      <c r="J446" s="24" t="str">
        <f aca="false">IF(F446="","",IF(H446="Car or van",IF(O446=0,TEXT(INDEX('Notes and sources'!$C$6:$D$6,1,'Start here'!$C$11)*100,"0")&amp;"p",IF(N446=0,TEXT(INDEX('Notes and sources'!$C$7:$D$7,1,'Start here'!$C$11)*100,"0")&amp;"p",TEXT(INDEX('Notes and sources'!$C$6:$D$6,1,'Start here'!$C$11)*100,"0")&amp;"p/"&amp;TEXT(INDEX('Notes and sources'!$C$7:$D$7,1,'Start here'!$C$11)*100,"0")&amp;"p")),IF(H446="Motorcycle",TEXT(INDEX('Notes and sources'!$C$8:$D$8,1,'Start here'!$C$11)*100,"0")&amp;"p",IF(H446="Bicycle",TEXT(INDEX('Notes and sources'!$C$9:$D$9,1,'Start here'!$C$11)*100,"0")&amp;"p",""))))</f>
        <v/>
      </c>
      <c r="K446" s="26" t="str">
        <f aca="false">IF(F446="","",ROUND(IF(H446="Car or van",N446*INDEX('Notes and sources'!$C$6:$D$6,1,'Start here'!$C$11)+O446*INDEX('Notes and sources'!$C$7:$D$7,1,'Start here'!$C$11)+N(G446)*N(F446)*INDEX('Notes and sources'!$C$10:$D$10,1,'Start here'!$C$11),IF(H446="Motorcycle",N(F446)*INDEX('Notes and sources'!$C$8:$D$8,1,'Start here'!$C$11),IF(H446="Bicycle",N(F446)*INDEX('Notes and sources'!$C$9:$D$9,1,'Start here'!$C$11),0))),2))</f>
        <v/>
      </c>
      <c r="L446" s="27"/>
      <c r="N446" s="2" t="n">
        <f aca="false">IF(I446="",0,MAX(0,MIN(N(F446),INDEX('Notes and sources'!$C$12:$D$12,1,'Start here'!$C$11)-(I446-N(F446)))))</f>
        <v>0</v>
      </c>
      <c r="O446" s="2" t="n">
        <f aca="false">IF(I446="",0,N(F446)-N446)</f>
        <v>0</v>
      </c>
      <c r="P446" s="2" t="str">
        <f aca="false">IF(A446="","",IF(AND(MONTH(A446)=4,DAY(A446)&lt;6),13,MOD(MONTH(A446)-4,12)+1))</f>
        <v/>
      </c>
    </row>
    <row r="447" customFormat="false" ht="15" hidden="false" customHeight="false" outlineLevel="0" collapsed="false">
      <c r="A447" s="21"/>
      <c r="B447" s="6"/>
      <c r="C447" s="6"/>
      <c r="D447" s="6"/>
      <c r="E447" s="6"/>
      <c r="F447" s="22"/>
      <c r="G447" s="23"/>
      <c r="H447" s="24" t="str">
        <f aca="false">IF(B447="","",IFERROR(INDEX('Start here'!$C$16:$C$20,MATCH(B447,'Start here'!$B$16:$B$20,0)),"Check vehicle"))</f>
        <v/>
      </c>
      <c r="I447" s="25" t="str">
        <f aca="false">IF(OR(F447="",H447&lt;&gt;"Car or van"),"",SUMIFS($F$6:F447,$H$6:H447,"Car or van"))</f>
        <v/>
      </c>
      <c r="J447" s="24" t="str">
        <f aca="false">IF(F447="","",IF(H447="Car or van",IF(O447=0,TEXT(INDEX('Notes and sources'!$C$6:$D$6,1,'Start here'!$C$11)*100,"0")&amp;"p",IF(N447=0,TEXT(INDEX('Notes and sources'!$C$7:$D$7,1,'Start here'!$C$11)*100,"0")&amp;"p",TEXT(INDEX('Notes and sources'!$C$6:$D$6,1,'Start here'!$C$11)*100,"0")&amp;"p/"&amp;TEXT(INDEX('Notes and sources'!$C$7:$D$7,1,'Start here'!$C$11)*100,"0")&amp;"p")),IF(H447="Motorcycle",TEXT(INDEX('Notes and sources'!$C$8:$D$8,1,'Start here'!$C$11)*100,"0")&amp;"p",IF(H447="Bicycle",TEXT(INDEX('Notes and sources'!$C$9:$D$9,1,'Start here'!$C$11)*100,"0")&amp;"p",""))))</f>
        <v/>
      </c>
      <c r="K447" s="26" t="str">
        <f aca="false">IF(F447="","",ROUND(IF(H447="Car or van",N447*INDEX('Notes and sources'!$C$6:$D$6,1,'Start here'!$C$11)+O447*INDEX('Notes and sources'!$C$7:$D$7,1,'Start here'!$C$11)+N(G447)*N(F447)*INDEX('Notes and sources'!$C$10:$D$10,1,'Start here'!$C$11),IF(H447="Motorcycle",N(F447)*INDEX('Notes and sources'!$C$8:$D$8,1,'Start here'!$C$11),IF(H447="Bicycle",N(F447)*INDEX('Notes and sources'!$C$9:$D$9,1,'Start here'!$C$11),0))),2))</f>
        <v/>
      </c>
      <c r="L447" s="27"/>
      <c r="N447" s="2" t="n">
        <f aca="false">IF(I447="",0,MAX(0,MIN(N(F447),INDEX('Notes and sources'!$C$12:$D$12,1,'Start here'!$C$11)-(I447-N(F447)))))</f>
        <v>0</v>
      </c>
      <c r="O447" s="2" t="n">
        <f aca="false">IF(I447="",0,N(F447)-N447)</f>
        <v>0</v>
      </c>
      <c r="P447" s="2" t="str">
        <f aca="false">IF(A447="","",IF(AND(MONTH(A447)=4,DAY(A447)&lt;6),13,MOD(MONTH(A447)-4,12)+1))</f>
        <v/>
      </c>
    </row>
    <row r="448" customFormat="false" ht="15" hidden="false" customHeight="false" outlineLevel="0" collapsed="false">
      <c r="A448" s="21"/>
      <c r="B448" s="6"/>
      <c r="C448" s="6"/>
      <c r="D448" s="6"/>
      <c r="E448" s="6"/>
      <c r="F448" s="22"/>
      <c r="G448" s="23"/>
      <c r="H448" s="24" t="str">
        <f aca="false">IF(B448="","",IFERROR(INDEX('Start here'!$C$16:$C$20,MATCH(B448,'Start here'!$B$16:$B$20,0)),"Check vehicle"))</f>
        <v/>
      </c>
      <c r="I448" s="25" t="str">
        <f aca="false">IF(OR(F448="",H448&lt;&gt;"Car or van"),"",SUMIFS($F$6:F448,$H$6:H448,"Car or van"))</f>
        <v/>
      </c>
      <c r="J448" s="24" t="str">
        <f aca="false">IF(F448="","",IF(H448="Car or van",IF(O448=0,TEXT(INDEX('Notes and sources'!$C$6:$D$6,1,'Start here'!$C$11)*100,"0")&amp;"p",IF(N448=0,TEXT(INDEX('Notes and sources'!$C$7:$D$7,1,'Start here'!$C$11)*100,"0")&amp;"p",TEXT(INDEX('Notes and sources'!$C$6:$D$6,1,'Start here'!$C$11)*100,"0")&amp;"p/"&amp;TEXT(INDEX('Notes and sources'!$C$7:$D$7,1,'Start here'!$C$11)*100,"0")&amp;"p")),IF(H448="Motorcycle",TEXT(INDEX('Notes and sources'!$C$8:$D$8,1,'Start here'!$C$11)*100,"0")&amp;"p",IF(H448="Bicycle",TEXT(INDEX('Notes and sources'!$C$9:$D$9,1,'Start here'!$C$11)*100,"0")&amp;"p",""))))</f>
        <v/>
      </c>
      <c r="K448" s="26" t="str">
        <f aca="false">IF(F448="","",ROUND(IF(H448="Car or van",N448*INDEX('Notes and sources'!$C$6:$D$6,1,'Start here'!$C$11)+O448*INDEX('Notes and sources'!$C$7:$D$7,1,'Start here'!$C$11)+N(G448)*N(F448)*INDEX('Notes and sources'!$C$10:$D$10,1,'Start here'!$C$11),IF(H448="Motorcycle",N(F448)*INDEX('Notes and sources'!$C$8:$D$8,1,'Start here'!$C$11),IF(H448="Bicycle",N(F448)*INDEX('Notes and sources'!$C$9:$D$9,1,'Start here'!$C$11),0))),2))</f>
        <v/>
      </c>
      <c r="L448" s="27"/>
      <c r="N448" s="2" t="n">
        <f aca="false">IF(I448="",0,MAX(0,MIN(N(F448),INDEX('Notes and sources'!$C$12:$D$12,1,'Start here'!$C$11)-(I448-N(F448)))))</f>
        <v>0</v>
      </c>
      <c r="O448" s="2" t="n">
        <f aca="false">IF(I448="",0,N(F448)-N448)</f>
        <v>0</v>
      </c>
      <c r="P448" s="2" t="str">
        <f aca="false">IF(A448="","",IF(AND(MONTH(A448)=4,DAY(A448)&lt;6),13,MOD(MONTH(A448)-4,12)+1))</f>
        <v/>
      </c>
    </row>
    <row r="449" customFormat="false" ht="15" hidden="false" customHeight="false" outlineLevel="0" collapsed="false">
      <c r="A449" s="21"/>
      <c r="B449" s="6"/>
      <c r="C449" s="6"/>
      <c r="D449" s="6"/>
      <c r="E449" s="6"/>
      <c r="F449" s="22"/>
      <c r="G449" s="23"/>
      <c r="H449" s="24" t="str">
        <f aca="false">IF(B449="","",IFERROR(INDEX('Start here'!$C$16:$C$20,MATCH(B449,'Start here'!$B$16:$B$20,0)),"Check vehicle"))</f>
        <v/>
      </c>
      <c r="I449" s="25" t="str">
        <f aca="false">IF(OR(F449="",H449&lt;&gt;"Car or van"),"",SUMIFS($F$6:F449,$H$6:H449,"Car or van"))</f>
        <v/>
      </c>
      <c r="J449" s="24" t="str">
        <f aca="false">IF(F449="","",IF(H449="Car or van",IF(O449=0,TEXT(INDEX('Notes and sources'!$C$6:$D$6,1,'Start here'!$C$11)*100,"0")&amp;"p",IF(N449=0,TEXT(INDEX('Notes and sources'!$C$7:$D$7,1,'Start here'!$C$11)*100,"0")&amp;"p",TEXT(INDEX('Notes and sources'!$C$6:$D$6,1,'Start here'!$C$11)*100,"0")&amp;"p/"&amp;TEXT(INDEX('Notes and sources'!$C$7:$D$7,1,'Start here'!$C$11)*100,"0")&amp;"p")),IF(H449="Motorcycle",TEXT(INDEX('Notes and sources'!$C$8:$D$8,1,'Start here'!$C$11)*100,"0")&amp;"p",IF(H449="Bicycle",TEXT(INDEX('Notes and sources'!$C$9:$D$9,1,'Start here'!$C$11)*100,"0")&amp;"p",""))))</f>
        <v/>
      </c>
      <c r="K449" s="26" t="str">
        <f aca="false">IF(F449="","",ROUND(IF(H449="Car or van",N449*INDEX('Notes and sources'!$C$6:$D$6,1,'Start here'!$C$11)+O449*INDEX('Notes and sources'!$C$7:$D$7,1,'Start here'!$C$11)+N(G449)*N(F449)*INDEX('Notes and sources'!$C$10:$D$10,1,'Start here'!$C$11),IF(H449="Motorcycle",N(F449)*INDEX('Notes and sources'!$C$8:$D$8,1,'Start here'!$C$11),IF(H449="Bicycle",N(F449)*INDEX('Notes and sources'!$C$9:$D$9,1,'Start here'!$C$11),0))),2))</f>
        <v/>
      </c>
      <c r="L449" s="27"/>
      <c r="N449" s="2" t="n">
        <f aca="false">IF(I449="",0,MAX(0,MIN(N(F449),INDEX('Notes and sources'!$C$12:$D$12,1,'Start here'!$C$11)-(I449-N(F449)))))</f>
        <v>0</v>
      </c>
      <c r="O449" s="2" t="n">
        <f aca="false">IF(I449="",0,N(F449)-N449)</f>
        <v>0</v>
      </c>
      <c r="P449" s="2" t="str">
        <f aca="false">IF(A449="","",IF(AND(MONTH(A449)=4,DAY(A449)&lt;6),13,MOD(MONTH(A449)-4,12)+1))</f>
        <v/>
      </c>
    </row>
    <row r="450" customFormat="false" ht="15" hidden="false" customHeight="false" outlineLevel="0" collapsed="false">
      <c r="A450" s="21"/>
      <c r="B450" s="6"/>
      <c r="C450" s="6"/>
      <c r="D450" s="6"/>
      <c r="E450" s="6"/>
      <c r="F450" s="22"/>
      <c r="G450" s="23"/>
      <c r="H450" s="24" t="str">
        <f aca="false">IF(B450="","",IFERROR(INDEX('Start here'!$C$16:$C$20,MATCH(B450,'Start here'!$B$16:$B$20,0)),"Check vehicle"))</f>
        <v/>
      </c>
      <c r="I450" s="25" t="str">
        <f aca="false">IF(OR(F450="",H450&lt;&gt;"Car or van"),"",SUMIFS($F$6:F450,$H$6:H450,"Car or van"))</f>
        <v/>
      </c>
      <c r="J450" s="24" t="str">
        <f aca="false">IF(F450="","",IF(H450="Car or van",IF(O450=0,TEXT(INDEX('Notes and sources'!$C$6:$D$6,1,'Start here'!$C$11)*100,"0")&amp;"p",IF(N450=0,TEXT(INDEX('Notes and sources'!$C$7:$D$7,1,'Start here'!$C$11)*100,"0")&amp;"p",TEXT(INDEX('Notes and sources'!$C$6:$D$6,1,'Start here'!$C$11)*100,"0")&amp;"p/"&amp;TEXT(INDEX('Notes and sources'!$C$7:$D$7,1,'Start here'!$C$11)*100,"0")&amp;"p")),IF(H450="Motorcycle",TEXT(INDEX('Notes and sources'!$C$8:$D$8,1,'Start here'!$C$11)*100,"0")&amp;"p",IF(H450="Bicycle",TEXT(INDEX('Notes and sources'!$C$9:$D$9,1,'Start here'!$C$11)*100,"0")&amp;"p",""))))</f>
        <v/>
      </c>
      <c r="K450" s="26" t="str">
        <f aca="false">IF(F450="","",ROUND(IF(H450="Car or van",N450*INDEX('Notes and sources'!$C$6:$D$6,1,'Start here'!$C$11)+O450*INDEX('Notes and sources'!$C$7:$D$7,1,'Start here'!$C$11)+N(G450)*N(F450)*INDEX('Notes and sources'!$C$10:$D$10,1,'Start here'!$C$11),IF(H450="Motorcycle",N(F450)*INDEX('Notes and sources'!$C$8:$D$8,1,'Start here'!$C$11),IF(H450="Bicycle",N(F450)*INDEX('Notes and sources'!$C$9:$D$9,1,'Start here'!$C$11),0))),2))</f>
        <v/>
      </c>
      <c r="L450" s="27"/>
      <c r="N450" s="2" t="n">
        <f aca="false">IF(I450="",0,MAX(0,MIN(N(F450),INDEX('Notes and sources'!$C$12:$D$12,1,'Start here'!$C$11)-(I450-N(F450)))))</f>
        <v>0</v>
      </c>
      <c r="O450" s="2" t="n">
        <f aca="false">IF(I450="",0,N(F450)-N450)</f>
        <v>0</v>
      </c>
      <c r="P450" s="2" t="str">
        <f aca="false">IF(A450="","",IF(AND(MONTH(A450)=4,DAY(A450)&lt;6),13,MOD(MONTH(A450)-4,12)+1))</f>
        <v/>
      </c>
    </row>
    <row r="451" customFormat="false" ht="15" hidden="false" customHeight="false" outlineLevel="0" collapsed="false">
      <c r="A451" s="21"/>
      <c r="B451" s="6"/>
      <c r="C451" s="6"/>
      <c r="D451" s="6"/>
      <c r="E451" s="6"/>
      <c r="F451" s="22"/>
      <c r="G451" s="23"/>
      <c r="H451" s="24" t="str">
        <f aca="false">IF(B451="","",IFERROR(INDEX('Start here'!$C$16:$C$20,MATCH(B451,'Start here'!$B$16:$B$20,0)),"Check vehicle"))</f>
        <v/>
      </c>
      <c r="I451" s="25" t="str">
        <f aca="false">IF(OR(F451="",H451&lt;&gt;"Car or van"),"",SUMIFS($F$6:F451,$H$6:H451,"Car or van"))</f>
        <v/>
      </c>
      <c r="J451" s="24" t="str">
        <f aca="false">IF(F451="","",IF(H451="Car or van",IF(O451=0,TEXT(INDEX('Notes and sources'!$C$6:$D$6,1,'Start here'!$C$11)*100,"0")&amp;"p",IF(N451=0,TEXT(INDEX('Notes and sources'!$C$7:$D$7,1,'Start here'!$C$11)*100,"0")&amp;"p",TEXT(INDEX('Notes and sources'!$C$6:$D$6,1,'Start here'!$C$11)*100,"0")&amp;"p/"&amp;TEXT(INDEX('Notes and sources'!$C$7:$D$7,1,'Start here'!$C$11)*100,"0")&amp;"p")),IF(H451="Motorcycle",TEXT(INDEX('Notes and sources'!$C$8:$D$8,1,'Start here'!$C$11)*100,"0")&amp;"p",IF(H451="Bicycle",TEXT(INDEX('Notes and sources'!$C$9:$D$9,1,'Start here'!$C$11)*100,"0")&amp;"p",""))))</f>
        <v/>
      </c>
      <c r="K451" s="26" t="str">
        <f aca="false">IF(F451="","",ROUND(IF(H451="Car or van",N451*INDEX('Notes and sources'!$C$6:$D$6,1,'Start here'!$C$11)+O451*INDEX('Notes and sources'!$C$7:$D$7,1,'Start here'!$C$11)+N(G451)*N(F451)*INDEX('Notes and sources'!$C$10:$D$10,1,'Start here'!$C$11),IF(H451="Motorcycle",N(F451)*INDEX('Notes and sources'!$C$8:$D$8,1,'Start here'!$C$11),IF(H451="Bicycle",N(F451)*INDEX('Notes and sources'!$C$9:$D$9,1,'Start here'!$C$11),0))),2))</f>
        <v/>
      </c>
      <c r="L451" s="27"/>
      <c r="N451" s="2" t="n">
        <f aca="false">IF(I451="",0,MAX(0,MIN(N(F451),INDEX('Notes and sources'!$C$12:$D$12,1,'Start here'!$C$11)-(I451-N(F451)))))</f>
        <v>0</v>
      </c>
      <c r="O451" s="2" t="n">
        <f aca="false">IF(I451="",0,N(F451)-N451)</f>
        <v>0</v>
      </c>
      <c r="P451" s="2" t="str">
        <f aca="false">IF(A451="","",IF(AND(MONTH(A451)=4,DAY(A451)&lt;6),13,MOD(MONTH(A451)-4,12)+1))</f>
        <v/>
      </c>
    </row>
    <row r="452" customFormat="false" ht="15" hidden="false" customHeight="false" outlineLevel="0" collapsed="false">
      <c r="A452" s="21"/>
      <c r="B452" s="6"/>
      <c r="C452" s="6"/>
      <c r="D452" s="6"/>
      <c r="E452" s="6"/>
      <c r="F452" s="22"/>
      <c r="G452" s="23"/>
      <c r="H452" s="24" t="str">
        <f aca="false">IF(B452="","",IFERROR(INDEX('Start here'!$C$16:$C$20,MATCH(B452,'Start here'!$B$16:$B$20,0)),"Check vehicle"))</f>
        <v/>
      </c>
      <c r="I452" s="25" t="str">
        <f aca="false">IF(OR(F452="",H452&lt;&gt;"Car or van"),"",SUMIFS($F$6:F452,$H$6:H452,"Car or van"))</f>
        <v/>
      </c>
      <c r="J452" s="24" t="str">
        <f aca="false">IF(F452="","",IF(H452="Car or van",IF(O452=0,TEXT(INDEX('Notes and sources'!$C$6:$D$6,1,'Start here'!$C$11)*100,"0")&amp;"p",IF(N452=0,TEXT(INDEX('Notes and sources'!$C$7:$D$7,1,'Start here'!$C$11)*100,"0")&amp;"p",TEXT(INDEX('Notes and sources'!$C$6:$D$6,1,'Start here'!$C$11)*100,"0")&amp;"p/"&amp;TEXT(INDEX('Notes and sources'!$C$7:$D$7,1,'Start here'!$C$11)*100,"0")&amp;"p")),IF(H452="Motorcycle",TEXT(INDEX('Notes and sources'!$C$8:$D$8,1,'Start here'!$C$11)*100,"0")&amp;"p",IF(H452="Bicycle",TEXT(INDEX('Notes and sources'!$C$9:$D$9,1,'Start here'!$C$11)*100,"0")&amp;"p",""))))</f>
        <v/>
      </c>
      <c r="K452" s="26" t="str">
        <f aca="false">IF(F452="","",ROUND(IF(H452="Car or van",N452*INDEX('Notes and sources'!$C$6:$D$6,1,'Start here'!$C$11)+O452*INDEX('Notes and sources'!$C$7:$D$7,1,'Start here'!$C$11)+N(G452)*N(F452)*INDEX('Notes and sources'!$C$10:$D$10,1,'Start here'!$C$11),IF(H452="Motorcycle",N(F452)*INDEX('Notes and sources'!$C$8:$D$8,1,'Start here'!$C$11),IF(H452="Bicycle",N(F452)*INDEX('Notes and sources'!$C$9:$D$9,1,'Start here'!$C$11),0))),2))</f>
        <v/>
      </c>
      <c r="L452" s="27"/>
      <c r="N452" s="2" t="n">
        <f aca="false">IF(I452="",0,MAX(0,MIN(N(F452),INDEX('Notes and sources'!$C$12:$D$12,1,'Start here'!$C$11)-(I452-N(F452)))))</f>
        <v>0</v>
      </c>
      <c r="O452" s="2" t="n">
        <f aca="false">IF(I452="",0,N(F452)-N452)</f>
        <v>0</v>
      </c>
      <c r="P452" s="2" t="str">
        <f aca="false">IF(A452="","",IF(AND(MONTH(A452)=4,DAY(A452)&lt;6),13,MOD(MONTH(A452)-4,12)+1))</f>
        <v/>
      </c>
    </row>
    <row r="453" customFormat="false" ht="15" hidden="false" customHeight="false" outlineLevel="0" collapsed="false">
      <c r="A453" s="21"/>
      <c r="B453" s="6"/>
      <c r="C453" s="6"/>
      <c r="D453" s="6"/>
      <c r="E453" s="6"/>
      <c r="F453" s="22"/>
      <c r="G453" s="23"/>
      <c r="H453" s="24" t="str">
        <f aca="false">IF(B453="","",IFERROR(INDEX('Start here'!$C$16:$C$20,MATCH(B453,'Start here'!$B$16:$B$20,0)),"Check vehicle"))</f>
        <v/>
      </c>
      <c r="I453" s="25" t="str">
        <f aca="false">IF(OR(F453="",H453&lt;&gt;"Car or van"),"",SUMIFS($F$6:F453,$H$6:H453,"Car or van"))</f>
        <v/>
      </c>
      <c r="J453" s="24" t="str">
        <f aca="false">IF(F453="","",IF(H453="Car or van",IF(O453=0,TEXT(INDEX('Notes and sources'!$C$6:$D$6,1,'Start here'!$C$11)*100,"0")&amp;"p",IF(N453=0,TEXT(INDEX('Notes and sources'!$C$7:$D$7,1,'Start here'!$C$11)*100,"0")&amp;"p",TEXT(INDEX('Notes and sources'!$C$6:$D$6,1,'Start here'!$C$11)*100,"0")&amp;"p/"&amp;TEXT(INDEX('Notes and sources'!$C$7:$D$7,1,'Start here'!$C$11)*100,"0")&amp;"p")),IF(H453="Motorcycle",TEXT(INDEX('Notes and sources'!$C$8:$D$8,1,'Start here'!$C$11)*100,"0")&amp;"p",IF(H453="Bicycle",TEXT(INDEX('Notes and sources'!$C$9:$D$9,1,'Start here'!$C$11)*100,"0")&amp;"p",""))))</f>
        <v/>
      </c>
      <c r="K453" s="26" t="str">
        <f aca="false">IF(F453="","",ROUND(IF(H453="Car or van",N453*INDEX('Notes and sources'!$C$6:$D$6,1,'Start here'!$C$11)+O453*INDEX('Notes and sources'!$C$7:$D$7,1,'Start here'!$C$11)+N(G453)*N(F453)*INDEX('Notes and sources'!$C$10:$D$10,1,'Start here'!$C$11),IF(H453="Motorcycle",N(F453)*INDEX('Notes and sources'!$C$8:$D$8,1,'Start here'!$C$11),IF(H453="Bicycle",N(F453)*INDEX('Notes and sources'!$C$9:$D$9,1,'Start here'!$C$11),0))),2))</f>
        <v/>
      </c>
      <c r="L453" s="27"/>
      <c r="N453" s="2" t="n">
        <f aca="false">IF(I453="",0,MAX(0,MIN(N(F453),INDEX('Notes and sources'!$C$12:$D$12,1,'Start here'!$C$11)-(I453-N(F453)))))</f>
        <v>0</v>
      </c>
      <c r="O453" s="2" t="n">
        <f aca="false">IF(I453="",0,N(F453)-N453)</f>
        <v>0</v>
      </c>
      <c r="P453" s="2" t="str">
        <f aca="false">IF(A453="","",IF(AND(MONTH(A453)=4,DAY(A453)&lt;6),13,MOD(MONTH(A453)-4,12)+1))</f>
        <v/>
      </c>
    </row>
    <row r="454" customFormat="false" ht="15" hidden="false" customHeight="false" outlineLevel="0" collapsed="false">
      <c r="A454" s="21"/>
      <c r="B454" s="6"/>
      <c r="C454" s="6"/>
      <c r="D454" s="6"/>
      <c r="E454" s="6"/>
      <c r="F454" s="22"/>
      <c r="G454" s="23"/>
      <c r="H454" s="24" t="str">
        <f aca="false">IF(B454="","",IFERROR(INDEX('Start here'!$C$16:$C$20,MATCH(B454,'Start here'!$B$16:$B$20,0)),"Check vehicle"))</f>
        <v/>
      </c>
      <c r="I454" s="25" t="str">
        <f aca="false">IF(OR(F454="",H454&lt;&gt;"Car or van"),"",SUMIFS($F$6:F454,$H$6:H454,"Car or van"))</f>
        <v/>
      </c>
      <c r="J454" s="24" t="str">
        <f aca="false">IF(F454="","",IF(H454="Car or van",IF(O454=0,TEXT(INDEX('Notes and sources'!$C$6:$D$6,1,'Start here'!$C$11)*100,"0")&amp;"p",IF(N454=0,TEXT(INDEX('Notes and sources'!$C$7:$D$7,1,'Start here'!$C$11)*100,"0")&amp;"p",TEXT(INDEX('Notes and sources'!$C$6:$D$6,1,'Start here'!$C$11)*100,"0")&amp;"p/"&amp;TEXT(INDEX('Notes and sources'!$C$7:$D$7,1,'Start here'!$C$11)*100,"0")&amp;"p")),IF(H454="Motorcycle",TEXT(INDEX('Notes and sources'!$C$8:$D$8,1,'Start here'!$C$11)*100,"0")&amp;"p",IF(H454="Bicycle",TEXT(INDEX('Notes and sources'!$C$9:$D$9,1,'Start here'!$C$11)*100,"0")&amp;"p",""))))</f>
        <v/>
      </c>
      <c r="K454" s="26" t="str">
        <f aca="false">IF(F454="","",ROUND(IF(H454="Car or van",N454*INDEX('Notes and sources'!$C$6:$D$6,1,'Start here'!$C$11)+O454*INDEX('Notes and sources'!$C$7:$D$7,1,'Start here'!$C$11)+N(G454)*N(F454)*INDEX('Notes and sources'!$C$10:$D$10,1,'Start here'!$C$11),IF(H454="Motorcycle",N(F454)*INDEX('Notes and sources'!$C$8:$D$8,1,'Start here'!$C$11),IF(H454="Bicycle",N(F454)*INDEX('Notes and sources'!$C$9:$D$9,1,'Start here'!$C$11),0))),2))</f>
        <v/>
      </c>
      <c r="L454" s="27"/>
      <c r="N454" s="2" t="n">
        <f aca="false">IF(I454="",0,MAX(0,MIN(N(F454),INDEX('Notes and sources'!$C$12:$D$12,1,'Start here'!$C$11)-(I454-N(F454)))))</f>
        <v>0</v>
      </c>
      <c r="O454" s="2" t="n">
        <f aca="false">IF(I454="",0,N(F454)-N454)</f>
        <v>0</v>
      </c>
      <c r="P454" s="2" t="str">
        <f aca="false">IF(A454="","",IF(AND(MONTH(A454)=4,DAY(A454)&lt;6),13,MOD(MONTH(A454)-4,12)+1))</f>
        <v/>
      </c>
    </row>
    <row r="455" customFormat="false" ht="15" hidden="false" customHeight="false" outlineLevel="0" collapsed="false">
      <c r="A455" s="21"/>
      <c r="B455" s="6"/>
      <c r="C455" s="6"/>
      <c r="D455" s="6"/>
      <c r="E455" s="6"/>
      <c r="F455" s="22"/>
      <c r="G455" s="23"/>
      <c r="H455" s="24" t="str">
        <f aca="false">IF(B455="","",IFERROR(INDEX('Start here'!$C$16:$C$20,MATCH(B455,'Start here'!$B$16:$B$20,0)),"Check vehicle"))</f>
        <v/>
      </c>
      <c r="I455" s="25" t="str">
        <f aca="false">IF(OR(F455="",H455&lt;&gt;"Car or van"),"",SUMIFS($F$6:F455,$H$6:H455,"Car or van"))</f>
        <v/>
      </c>
      <c r="J455" s="24" t="str">
        <f aca="false">IF(F455="","",IF(H455="Car or van",IF(O455=0,TEXT(INDEX('Notes and sources'!$C$6:$D$6,1,'Start here'!$C$11)*100,"0")&amp;"p",IF(N455=0,TEXT(INDEX('Notes and sources'!$C$7:$D$7,1,'Start here'!$C$11)*100,"0")&amp;"p",TEXT(INDEX('Notes and sources'!$C$6:$D$6,1,'Start here'!$C$11)*100,"0")&amp;"p/"&amp;TEXT(INDEX('Notes and sources'!$C$7:$D$7,1,'Start here'!$C$11)*100,"0")&amp;"p")),IF(H455="Motorcycle",TEXT(INDEX('Notes and sources'!$C$8:$D$8,1,'Start here'!$C$11)*100,"0")&amp;"p",IF(H455="Bicycle",TEXT(INDEX('Notes and sources'!$C$9:$D$9,1,'Start here'!$C$11)*100,"0")&amp;"p",""))))</f>
        <v/>
      </c>
      <c r="K455" s="26" t="str">
        <f aca="false">IF(F455="","",ROUND(IF(H455="Car or van",N455*INDEX('Notes and sources'!$C$6:$D$6,1,'Start here'!$C$11)+O455*INDEX('Notes and sources'!$C$7:$D$7,1,'Start here'!$C$11)+N(G455)*N(F455)*INDEX('Notes and sources'!$C$10:$D$10,1,'Start here'!$C$11),IF(H455="Motorcycle",N(F455)*INDEX('Notes and sources'!$C$8:$D$8,1,'Start here'!$C$11),IF(H455="Bicycle",N(F455)*INDEX('Notes and sources'!$C$9:$D$9,1,'Start here'!$C$11),0))),2))</f>
        <v/>
      </c>
      <c r="L455" s="27"/>
      <c r="N455" s="2" t="n">
        <f aca="false">IF(I455="",0,MAX(0,MIN(N(F455),INDEX('Notes and sources'!$C$12:$D$12,1,'Start here'!$C$11)-(I455-N(F455)))))</f>
        <v>0</v>
      </c>
      <c r="O455" s="2" t="n">
        <f aca="false">IF(I455="",0,N(F455)-N455)</f>
        <v>0</v>
      </c>
      <c r="P455" s="2" t="str">
        <f aca="false">IF(A455="","",IF(AND(MONTH(A455)=4,DAY(A455)&lt;6),13,MOD(MONTH(A455)-4,12)+1))</f>
        <v/>
      </c>
    </row>
    <row r="456" customFormat="false" ht="15" hidden="false" customHeight="false" outlineLevel="0" collapsed="false">
      <c r="A456" s="21"/>
      <c r="B456" s="6"/>
      <c r="C456" s="6"/>
      <c r="D456" s="6"/>
      <c r="E456" s="6"/>
      <c r="F456" s="22"/>
      <c r="G456" s="23"/>
      <c r="H456" s="24" t="str">
        <f aca="false">IF(B456="","",IFERROR(INDEX('Start here'!$C$16:$C$20,MATCH(B456,'Start here'!$B$16:$B$20,0)),"Check vehicle"))</f>
        <v/>
      </c>
      <c r="I456" s="25" t="str">
        <f aca="false">IF(OR(F456="",H456&lt;&gt;"Car or van"),"",SUMIFS($F$6:F456,$H$6:H456,"Car or van"))</f>
        <v/>
      </c>
      <c r="J456" s="24" t="str">
        <f aca="false">IF(F456="","",IF(H456="Car or van",IF(O456=0,TEXT(INDEX('Notes and sources'!$C$6:$D$6,1,'Start here'!$C$11)*100,"0")&amp;"p",IF(N456=0,TEXT(INDEX('Notes and sources'!$C$7:$D$7,1,'Start here'!$C$11)*100,"0")&amp;"p",TEXT(INDEX('Notes and sources'!$C$6:$D$6,1,'Start here'!$C$11)*100,"0")&amp;"p/"&amp;TEXT(INDEX('Notes and sources'!$C$7:$D$7,1,'Start here'!$C$11)*100,"0")&amp;"p")),IF(H456="Motorcycle",TEXT(INDEX('Notes and sources'!$C$8:$D$8,1,'Start here'!$C$11)*100,"0")&amp;"p",IF(H456="Bicycle",TEXT(INDEX('Notes and sources'!$C$9:$D$9,1,'Start here'!$C$11)*100,"0")&amp;"p",""))))</f>
        <v/>
      </c>
      <c r="K456" s="26" t="str">
        <f aca="false">IF(F456="","",ROUND(IF(H456="Car or van",N456*INDEX('Notes and sources'!$C$6:$D$6,1,'Start here'!$C$11)+O456*INDEX('Notes and sources'!$C$7:$D$7,1,'Start here'!$C$11)+N(G456)*N(F456)*INDEX('Notes and sources'!$C$10:$D$10,1,'Start here'!$C$11),IF(H456="Motorcycle",N(F456)*INDEX('Notes and sources'!$C$8:$D$8,1,'Start here'!$C$11),IF(H456="Bicycle",N(F456)*INDEX('Notes and sources'!$C$9:$D$9,1,'Start here'!$C$11),0))),2))</f>
        <v/>
      </c>
      <c r="L456" s="27"/>
      <c r="N456" s="2" t="n">
        <f aca="false">IF(I456="",0,MAX(0,MIN(N(F456),INDEX('Notes and sources'!$C$12:$D$12,1,'Start here'!$C$11)-(I456-N(F456)))))</f>
        <v>0</v>
      </c>
      <c r="O456" s="2" t="n">
        <f aca="false">IF(I456="",0,N(F456)-N456)</f>
        <v>0</v>
      </c>
      <c r="P456" s="2" t="str">
        <f aca="false">IF(A456="","",IF(AND(MONTH(A456)=4,DAY(A456)&lt;6),13,MOD(MONTH(A456)-4,12)+1))</f>
        <v/>
      </c>
    </row>
    <row r="457" customFormat="false" ht="15" hidden="false" customHeight="false" outlineLevel="0" collapsed="false">
      <c r="A457" s="21"/>
      <c r="B457" s="6"/>
      <c r="C457" s="6"/>
      <c r="D457" s="6"/>
      <c r="E457" s="6"/>
      <c r="F457" s="22"/>
      <c r="G457" s="23"/>
      <c r="H457" s="24" t="str">
        <f aca="false">IF(B457="","",IFERROR(INDEX('Start here'!$C$16:$C$20,MATCH(B457,'Start here'!$B$16:$B$20,0)),"Check vehicle"))</f>
        <v/>
      </c>
      <c r="I457" s="25" t="str">
        <f aca="false">IF(OR(F457="",H457&lt;&gt;"Car or van"),"",SUMIFS($F$6:F457,$H$6:H457,"Car or van"))</f>
        <v/>
      </c>
      <c r="J457" s="24" t="str">
        <f aca="false">IF(F457="","",IF(H457="Car or van",IF(O457=0,TEXT(INDEX('Notes and sources'!$C$6:$D$6,1,'Start here'!$C$11)*100,"0")&amp;"p",IF(N457=0,TEXT(INDEX('Notes and sources'!$C$7:$D$7,1,'Start here'!$C$11)*100,"0")&amp;"p",TEXT(INDEX('Notes and sources'!$C$6:$D$6,1,'Start here'!$C$11)*100,"0")&amp;"p/"&amp;TEXT(INDEX('Notes and sources'!$C$7:$D$7,1,'Start here'!$C$11)*100,"0")&amp;"p")),IF(H457="Motorcycle",TEXT(INDEX('Notes and sources'!$C$8:$D$8,1,'Start here'!$C$11)*100,"0")&amp;"p",IF(H457="Bicycle",TEXT(INDEX('Notes and sources'!$C$9:$D$9,1,'Start here'!$C$11)*100,"0")&amp;"p",""))))</f>
        <v/>
      </c>
      <c r="K457" s="26" t="str">
        <f aca="false">IF(F457="","",ROUND(IF(H457="Car or van",N457*INDEX('Notes and sources'!$C$6:$D$6,1,'Start here'!$C$11)+O457*INDEX('Notes and sources'!$C$7:$D$7,1,'Start here'!$C$11)+N(G457)*N(F457)*INDEX('Notes and sources'!$C$10:$D$10,1,'Start here'!$C$11),IF(H457="Motorcycle",N(F457)*INDEX('Notes and sources'!$C$8:$D$8,1,'Start here'!$C$11),IF(H457="Bicycle",N(F457)*INDEX('Notes and sources'!$C$9:$D$9,1,'Start here'!$C$11),0))),2))</f>
        <v/>
      </c>
      <c r="L457" s="27"/>
      <c r="N457" s="2" t="n">
        <f aca="false">IF(I457="",0,MAX(0,MIN(N(F457),INDEX('Notes and sources'!$C$12:$D$12,1,'Start here'!$C$11)-(I457-N(F457)))))</f>
        <v>0</v>
      </c>
      <c r="O457" s="2" t="n">
        <f aca="false">IF(I457="",0,N(F457)-N457)</f>
        <v>0</v>
      </c>
      <c r="P457" s="2" t="str">
        <f aca="false">IF(A457="","",IF(AND(MONTH(A457)=4,DAY(A457)&lt;6),13,MOD(MONTH(A457)-4,12)+1))</f>
        <v/>
      </c>
    </row>
    <row r="458" customFormat="false" ht="15" hidden="false" customHeight="false" outlineLevel="0" collapsed="false">
      <c r="A458" s="21"/>
      <c r="B458" s="6"/>
      <c r="C458" s="6"/>
      <c r="D458" s="6"/>
      <c r="E458" s="6"/>
      <c r="F458" s="22"/>
      <c r="G458" s="23"/>
      <c r="H458" s="24" t="str">
        <f aca="false">IF(B458="","",IFERROR(INDEX('Start here'!$C$16:$C$20,MATCH(B458,'Start here'!$B$16:$B$20,0)),"Check vehicle"))</f>
        <v/>
      </c>
      <c r="I458" s="25" t="str">
        <f aca="false">IF(OR(F458="",H458&lt;&gt;"Car or van"),"",SUMIFS($F$6:F458,$H$6:H458,"Car or van"))</f>
        <v/>
      </c>
      <c r="J458" s="24" t="str">
        <f aca="false">IF(F458="","",IF(H458="Car or van",IF(O458=0,TEXT(INDEX('Notes and sources'!$C$6:$D$6,1,'Start here'!$C$11)*100,"0")&amp;"p",IF(N458=0,TEXT(INDEX('Notes and sources'!$C$7:$D$7,1,'Start here'!$C$11)*100,"0")&amp;"p",TEXT(INDEX('Notes and sources'!$C$6:$D$6,1,'Start here'!$C$11)*100,"0")&amp;"p/"&amp;TEXT(INDEX('Notes and sources'!$C$7:$D$7,1,'Start here'!$C$11)*100,"0")&amp;"p")),IF(H458="Motorcycle",TEXT(INDEX('Notes and sources'!$C$8:$D$8,1,'Start here'!$C$11)*100,"0")&amp;"p",IF(H458="Bicycle",TEXT(INDEX('Notes and sources'!$C$9:$D$9,1,'Start here'!$C$11)*100,"0")&amp;"p",""))))</f>
        <v/>
      </c>
      <c r="K458" s="26" t="str">
        <f aca="false">IF(F458="","",ROUND(IF(H458="Car or van",N458*INDEX('Notes and sources'!$C$6:$D$6,1,'Start here'!$C$11)+O458*INDEX('Notes and sources'!$C$7:$D$7,1,'Start here'!$C$11)+N(G458)*N(F458)*INDEX('Notes and sources'!$C$10:$D$10,1,'Start here'!$C$11),IF(H458="Motorcycle",N(F458)*INDEX('Notes and sources'!$C$8:$D$8,1,'Start here'!$C$11),IF(H458="Bicycle",N(F458)*INDEX('Notes and sources'!$C$9:$D$9,1,'Start here'!$C$11),0))),2))</f>
        <v/>
      </c>
      <c r="L458" s="27"/>
      <c r="N458" s="2" t="n">
        <f aca="false">IF(I458="",0,MAX(0,MIN(N(F458),INDEX('Notes and sources'!$C$12:$D$12,1,'Start here'!$C$11)-(I458-N(F458)))))</f>
        <v>0</v>
      </c>
      <c r="O458" s="2" t="n">
        <f aca="false">IF(I458="",0,N(F458)-N458)</f>
        <v>0</v>
      </c>
      <c r="P458" s="2" t="str">
        <f aca="false">IF(A458="","",IF(AND(MONTH(A458)=4,DAY(A458)&lt;6),13,MOD(MONTH(A458)-4,12)+1))</f>
        <v/>
      </c>
    </row>
    <row r="459" customFormat="false" ht="15" hidden="false" customHeight="false" outlineLevel="0" collapsed="false">
      <c r="A459" s="21"/>
      <c r="B459" s="6"/>
      <c r="C459" s="6"/>
      <c r="D459" s="6"/>
      <c r="E459" s="6"/>
      <c r="F459" s="22"/>
      <c r="G459" s="23"/>
      <c r="H459" s="24" t="str">
        <f aca="false">IF(B459="","",IFERROR(INDEX('Start here'!$C$16:$C$20,MATCH(B459,'Start here'!$B$16:$B$20,0)),"Check vehicle"))</f>
        <v/>
      </c>
      <c r="I459" s="25" t="str">
        <f aca="false">IF(OR(F459="",H459&lt;&gt;"Car or van"),"",SUMIFS($F$6:F459,$H$6:H459,"Car or van"))</f>
        <v/>
      </c>
      <c r="J459" s="24" t="str">
        <f aca="false">IF(F459="","",IF(H459="Car or van",IF(O459=0,TEXT(INDEX('Notes and sources'!$C$6:$D$6,1,'Start here'!$C$11)*100,"0")&amp;"p",IF(N459=0,TEXT(INDEX('Notes and sources'!$C$7:$D$7,1,'Start here'!$C$11)*100,"0")&amp;"p",TEXT(INDEX('Notes and sources'!$C$6:$D$6,1,'Start here'!$C$11)*100,"0")&amp;"p/"&amp;TEXT(INDEX('Notes and sources'!$C$7:$D$7,1,'Start here'!$C$11)*100,"0")&amp;"p")),IF(H459="Motorcycle",TEXT(INDEX('Notes and sources'!$C$8:$D$8,1,'Start here'!$C$11)*100,"0")&amp;"p",IF(H459="Bicycle",TEXT(INDEX('Notes and sources'!$C$9:$D$9,1,'Start here'!$C$11)*100,"0")&amp;"p",""))))</f>
        <v/>
      </c>
      <c r="K459" s="26" t="str">
        <f aca="false">IF(F459="","",ROUND(IF(H459="Car or van",N459*INDEX('Notes and sources'!$C$6:$D$6,1,'Start here'!$C$11)+O459*INDEX('Notes and sources'!$C$7:$D$7,1,'Start here'!$C$11)+N(G459)*N(F459)*INDEX('Notes and sources'!$C$10:$D$10,1,'Start here'!$C$11),IF(H459="Motorcycle",N(F459)*INDEX('Notes and sources'!$C$8:$D$8,1,'Start here'!$C$11),IF(H459="Bicycle",N(F459)*INDEX('Notes and sources'!$C$9:$D$9,1,'Start here'!$C$11),0))),2))</f>
        <v/>
      </c>
      <c r="L459" s="27"/>
      <c r="N459" s="2" t="n">
        <f aca="false">IF(I459="",0,MAX(0,MIN(N(F459),INDEX('Notes and sources'!$C$12:$D$12,1,'Start here'!$C$11)-(I459-N(F459)))))</f>
        <v>0</v>
      </c>
      <c r="O459" s="2" t="n">
        <f aca="false">IF(I459="",0,N(F459)-N459)</f>
        <v>0</v>
      </c>
      <c r="P459" s="2" t="str">
        <f aca="false">IF(A459="","",IF(AND(MONTH(A459)=4,DAY(A459)&lt;6),13,MOD(MONTH(A459)-4,12)+1))</f>
        <v/>
      </c>
    </row>
    <row r="460" customFormat="false" ht="15" hidden="false" customHeight="false" outlineLevel="0" collapsed="false">
      <c r="A460" s="21"/>
      <c r="B460" s="6"/>
      <c r="C460" s="6"/>
      <c r="D460" s="6"/>
      <c r="E460" s="6"/>
      <c r="F460" s="22"/>
      <c r="G460" s="23"/>
      <c r="H460" s="24" t="str">
        <f aca="false">IF(B460="","",IFERROR(INDEX('Start here'!$C$16:$C$20,MATCH(B460,'Start here'!$B$16:$B$20,0)),"Check vehicle"))</f>
        <v/>
      </c>
      <c r="I460" s="25" t="str">
        <f aca="false">IF(OR(F460="",H460&lt;&gt;"Car or van"),"",SUMIFS($F$6:F460,$H$6:H460,"Car or van"))</f>
        <v/>
      </c>
      <c r="J460" s="24" t="str">
        <f aca="false">IF(F460="","",IF(H460="Car or van",IF(O460=0,TEXT(INDEX('Notes and sources'!$C$6:$D$6,1,'Start here'!$C$11)*100,"0")&amp;"p",IF(N460=0,TEXT(INDEX('Notes and sources'!$C$7:$D$7,1,'Start here'!$C$11)*100,"0")&amp;"p",TEXT(INDEX('Notes and sources'!$C$6:$D$6,1,'Start here'!$C$11)*100,"0")&amp;"p/"&amp;TEXT(INDEX('Notes and sources'!$C$7:$D$7,1,'Start here'!$C$11)*100,"0")&amp;"p")),IF(H460="Motorcycle",TEXT(INDEX('Notes and sources'!$C$8:$D$8,1,'Start here'!$C$11)*100,"0")&amp;"p",IF(H460="Bicycle",TEXT(INDEX('Notes and sources'!$C$9:$D$9,1,'Start here'!$C$11)*100,"0")&amp;"p",""))))</f>
        <v/>
      </c>
      <c r="K460" s="26" t="str">
        <f aca="false">IF(F460="","",ROUND(IF(H460="Car or van",N460*INDEX('Notes and sources'!$C$6:$D$6,1,'Start here'!$C$11)+O460*INDEX('Notes and sources'!$C$7:$D$7,1,'Start here'!$C$11)+N(G460)*N(F460)*INDEX('Notes and sources'!$C$10:$D$10,1,'Start here'!$C$11),IF(H460="Motorcycle",N(F460)*INDEX('Notes and sources'!$C$8:$D$8,1,'Start here'!$C$11),IF(H460="Bicycle",N(F460)*INDEX('Notes and sources'!$C$9:$D$9,1,'Start here'!$C$11),0))),2))</f>
        <v/>
      </c>
      <c r="L460" s="27"/>
      <c r="N460" s="2" t="n">
        <f aca="false">IF(I460="",0,MAX(0,MIN(N(F460),INDEX('Notes and sources'!$C$12:$D$12,1,'Start here'!$C$11)-(I460-N(F460)))))</f>
        <v>0</v>
      </c>
      <c r="O460" s="2" t="n">
        <f aca="false">IF(I460="",0,N(F460)-N460)</f>
        <v>0</v>
      </c>
      <c r="P460" s="2" t="str">
        <f aca="false">IF(A460="","",IF(AND(MONTH(A460)=4,DAY(A460)&lt;6),13,MOD(MONTH(A460)-4,12)+1))</f>
        <v/>
      </c>
    </row>
    <row r="461" customFormat="false" ht="15" hidden="false" customHeight="false" outlineLevel="0" collapsed="false">
      <c r="A461" s="21"/>
      <c r="B461" s="6"/>
      <c r="C461" s="6"/>
      <c r="D461" s="6"/>
      <c r="E461" s="6"/>
      <c r="F461" s="22"/>
      <c r="G461" s="23"/>
      <c r="H461" s="24" t="str">
        <f aca="false">IF(B461="","",IFERROR(INDEX('Start here'!$C$16:$C$20,MATCH(B461,'Start here'!$B$16:$B$20,0)),"Check vehicle"))</f>
        <v/>
      </c>
      <c r="I461" s="25" t="str">
        <f aca="false">IF(OR(F461="",H461&lt;&gt;"Car or van"),"",SUMIFS($F$6:F461,$H$6:H461,"Car or van"))</f>
        <v/>
      </c>
      <c r="J461" s="24" t="str">
        <f aca="false">IF(F461="","",IF(H461="Car or van",IF(O461=0,TEXT(INDEX('Notes and sources'!$C$6:$D$6,1,'Start here'!$C$11)*100,"0")&amp;"p",IF(N461=0,TEXT(INDEX('Notes and sources'!$C$7:$D$7,1,'Start here'!$C$11)*100,"0")&amp;"p",TEXT(INDEX('Notes and sources'!$C$6:$D$6,1,'Start here'!$C$11)*100,"0")&amp;"p/"&amp;TEXT(INDEX('Notes and sources'!$C$7:$D$7,1,'Start here'!$C$11)*100,"0")&amp;"p")),IF(H461="Motorcycle",TEXT(INDEX('Notes and sources'!$C$8:$D$8,1,'Start here'!$C$11)*100,"0")&amp;"p",IF(H461="Bicycle",TEXT(INDEX('Notes and sources'!$C$9:$D$9,1,'Start here'!$C$11)*100,"0")&amp;"p",""))))</f>
        <v/>
      </c>
      <c r="K461" s="26" t="str">
        <f aca="false">IF(F461="","",ROUND(IF(H461="Car or van",N461*INDEX('Notes and sources'!$C$6:$D$6,1,'Start here'!$C$11)+O461*INDEX('Notes and sources'!$C$7:$D$7,1,'Start here'!$C$11)+N(G461)*N(F461)*INDEX('Notes and sources'!$C$10:$D$10,1,'Start here'!$C$11),IF(H461="Motorcycle",N(F461)*INDEX('Notes and sources'!$C$8:$D$8,1,'Start here'!$C$11),IF(H461="Bicycle",N(F461)*INDEX('Notes and sources'!$C$9:$D$9,1,'Start here'!$C$11),0))),2))</f>
        <v/>
      </c>
      <c r="L461" s="27"/>
      <c r="N461" s="2" t="n">
        <f aca="false">IF(I461="",0,MAX(0,MIN(N(F461),INDEX('Notes and sources'!$C$12:$D$12,1,'Start here'!$C$11)-(I461-N(F461)))))</f>
        <v>0</v>
      </c>
      <c r="O461" s="2" t="n">
        <f aca="false">IF(I461="",0,N(F461)-N461)</f>
        <v>0</v>
      </c>
      <c r="P461" s="2" t="str">
        <f aca="false">IF(A461="","",IF(AND(MONTH(A461)=4,DAY(A461)&lt;6),13,MOD(MONTH(A461)-4,12)+1))</f>
        <v/>
      </c>
    </row>
    <row r="462" customFormat="false" ht="15" hidden="false" customHeight="false" outlineLevel="0" collapsed="false">
      <c r="A462" s="21"/>
      <c r="B462" s="6"/>
      <c r="C462" s="6"/>
      <c r="D462" s="6"/>
      <c r="E462" s="6"/>
      <c r="F462" s="22"/>
      <c r="G462" s="23"/>
      <c r="H462" s="24" t="str">
        <f aca="false">IF(B462="","",IFERROR(INDEX('Start here'!$C$16:$C$20,MATCH(B462,'Start here'!$B$16:$B$20,0)),"Check vehicle"))</f>
        <v/>
      </c>
      <c r="I462" s="25" t="str">
        <f aca="false">IF(OR(F462="",H462&lt;&gt;"Car or van"),"",SUMIFS($F$6:F462,$H$6:H462,"Car or van"))</f>
        <v/>
      </c>
      <c r="J462" s="24" t="str">
        <f aca="false">IF(F462="","",IF(H462="Car or van",IF(O462=0,TEXT(INDEX('Notes and sources'!$C$6:$D$6,1,'Start here'!$C$11)*100,"0")&amp;"p",IF(N462=0,TEXT(INDEX('Notes and sources'!$C$7:$D$7,1,'Start here'!$C$11)*100,"0")&amp;"p",TEXT(INDEX('Notes and sources'!$C$6:$D$6,1,'Start here'!$C$11)*100,"0")&amp;"p/"&amp;TEXT(INDEX('Notes and sources'!$C$7:$D$7,1,'Start here'!$C$11)*100,"0")&amp;"p")),IF(H462="Motorcycle",TEXT(INDEX('Notes and sources'!$C$8:$D$8,1,'Start here'!$C$11)*100,"0")&amp;"p",IF(H462="Bicycle",TEXT(INDEX('Notes and sources'!$C$9:$D$9,1,'Start here'!$C$11)*100,"0")&amp;"p",""))))</f>
        <v/>
      </c>
      <c r="K462" s="26" t="str">
        <f aca="false">IF(F462="","",ROUND(IF(H462="Car or van",N462*INDEX('Notes and sources'!$C$6:$D$6,1,'Start here'!$C$11)+O462*INDEX('Notes and sources'!$C$7:$D$7,1,'Start here'!$C$11)+N(G462)*N(F462)*INDEX('Notes and sources'!$C$10:$D$10,1,'Start here'!$C$11),IF(H462="Motorcycle",N(F462)*INDEX('Notes and sources'!$C$8:$D$8,1,'Start here'!$C$11),IF(H462="Bicycle",N(F462)*INDEX('Notes and sources'!$C$9:$D$9,1,'Start here'!$C$11),0))),2))</f>
        <v/>
      </c>
      <c r="L462" s="27"/>
      <c r="N462" s="2" t="n">
        <f aca="false">IF(I462="",0,MAX(0,MIN(N(F462),INDEX('Notes and sources'!$C$12:$D$12,1,'Start here'!$C$11)-(I462-N(F462)))))</f>
        <v>0</v>
      </c>
      <c r="O462" s="2" t="n">
        <f aca="false">IF(I462="",0,N(F462)-N462)</f>
        <v>0</v>
      </c>
      <c r="P462" s="2" t="str">
        <f aca="false">IF(A462="","",IF(AND(MONTH(A462)=4,DAY(A462)&lt;6),13,MOD(MONTH(A462)-4,12)+1))</f>
        <v/>
      </c>
    </row>
    <row r="463" customFormat="false" ht="15" hidden="false" customHeight="false" outlineLevel="0" collapsed="false">
      <c r="A463" s="21"/>
      <c r="B463" s="6"/>
      <c r="C463" s="6"/>
      <c r="D463" s="6"/>
      <c r="E463" s="6"/>
      <c r="F463" s="22"/>
      <c r="G463" s="23"/>
      <c r="H463" s="24" t="str">
        <f aca="false">IF(B463="","",IFERROR(INDEX('Start here'!$C$16:$C$20,MATCH(B463,'Start here'!$B$16:$B$20,0)),"Check vehicle"))</f>
        <v/>
      </c>
      <c r="I463" s="25" t="str">
        <f aca="false">IF(OR(F463="",H463&lt;&gt;"Car or van"),"",SUMIFS($F$6:F463,$H$6:H463,"Car or van"))</f>
        <v/>
      </c>
      <c r="J463" s="24" t="str">
        <f aca="false">IF(F463="","",IF(H463="Car or van",IF(O463=0,TEXT(INDEX('Notes and sources'!$C$6:$D$6,1,'Start here'!$C$11)*100,"0")&amp;"p",IF(N463=0,TEXT(INDEX('Notes and sources'!$C$7:$D$7,1,'Start here'!$C$11)*100,"0")&amp;"p",TEXT(INDEX('Notes and sources'!$C$6:$D$6,1,'Start here'!$C$11)*100,"0")&amp;"p/"&amp;TEXT(INDEX('Notes and sources'!$C$7:$D$7,1,'Start here'!$C$11)*100,"0")&amp;"p")),IF(H463="Motorcycle",TEXT(INDEX('Notes and sources'!$C$8:$D$8,1,'Start here'!$C$11)*100,"0")&amp;"p",IF(H463="Bicycle",TEXT(INDEX('Notes and sources'!$C$9:$D$9,1,'Start here'!$C$11)*100,"0")&amp;"p",""))))</f>
        <v/>
      </c>
      <c r="K463" s="26" t="str">
        <f aca="false">IF(F463="","",ROUND(IF(H463="Car or van",N463*INDEX('Notes and sources'!$C$6:$D$6,1,'Start here'!$C$11)+O463*INDEX('Notes and sources'!$C$7:$D$7,1,'Start here'!$C$11)+N(G463)*N(F463)*INDEX('Notes and sources'!$C$10:$D$10,1,'Start here'!$C$11),IF(H463="Motorcycle",N(F463)*INDEX('Notes and sources'!$C$8:$D$8,1,'Start here'!$C$11),IF(H463="Bicycle",N(F463)*INDEX('Notes and sources'!$C$9:$D$9,1,'Start here'!$C$11),0))),2))</f>
        <v/>
      </c>
      <c r="L463" s="27"/>
      <c r="N463" s="2" t="n">
        <f aca="false">IF(I463="",0,MAX(0,MIN(N(F463),INDEX('Notes and sources'!$C$12:$D$12,1,'Start here'!$C$11)-(I463-N(F463)))))</f>
        <v>0</v>
      </c>
      <c r="O463" s="2" t="n">
        <f aca="false">IF(I463="",0,N(F463)-N463)</f>
        <v>0</v>
      </c>
      <c r="P463" s="2" t="str">
        <f aca="false">IF(A463="","",IF(AND(MONTH(A463)=4,DAY(A463)&lt;6),13,MOD(MONTH(A463)-4,12)+1))</f>
        <v/>
      </c>
    </row>
    <row r="464" customFormat="false" ht="15" hidden="false" customHeight="false" outlineLevel="0" collapsed="false">
      <c r="A464" s="21"/>
      <c r="B464" s="6"/>
      <c r="C464" s="6"/>
      <c r="D464" s="6"/>
      <c r="E464" s="6"/>
      <c r="F464" s="22"/>
      <c r="G464" s="23"/>
      <c r="H464" s="24" t="str">
        <f aca="false">IF(B464="","",IFERROR(INDEX('Start here'!$C$16:$C$20,MATCH(B464,'Start here'!$B$16:$B$20,0)),"Check vehicle"))</f>
        <v/>
      </c>
      <c r="I464" s="25" t="str">
        <f aca="false">IF(OR(F464="",H464&lt;&gt;"Car or van"),"",SUMIFS($F$6:F464,$H$6:H464,"Car or van"))</f>
        <v/>
      </c>
      <c r="J464" s="24" t="str">
        <f aca="false">IF(F464="","",IF(H464="Car or van",IF(O464=0,TEXT(INDEX('Notes and sources'!$C$6:$D$6,1,'Start here'!$C$11)*100,"0")&amp;"p",IF(N464=0,TEXT(INDEX('Notes and sources'!$C$7:$D$7,1,'Start here'!$C$11)*100,"0")&amp;"p",TEXT(INDEX('Notes and sources'!$C$6:$D$6,1,'Start here'!$C$11)*100,"0")&amp;"p/"&amp;TEXT(INDEX('Notes and sources'!$C$7:$D$7,1,'Start here'!$C$11)*100,"0")&amp;"p")),IF(H464="Motorcycle",TEXT(INDEX('Notes and sources'!$C$8:$D$8,1,'Start here'!$C$11)*100,"0")&amp;"p",IF(H464="Bicycle",TEXT(INDEX('Notes and sources'!$C$9:$D$9,1,'Start here'!$C$11)*100,"0")&amp;"p",""))))</f>
        <v/>
      </c>
      <c r="K464" s="26" t="str">
        <f aca="false">IF(F464="","",ROUND(IF(H464="Car or van",N464*INDEX('Notes and sources'!$C$6:$D$6,1,'Start here'!$C$11)+O464*INDEX('Notes and sources'!$C$7:$D$7,1,'Start here'!$C$11)+N(G464)*N(F464)*INDEX('Notes and sources'!$C$10:$D$10,1,'Start here'!$C$11),IF(H464="Motorcycle",N(F464)*INDEX('Notes and sources'!$C$8:$D$8,1,'Start here'!$C$11),IF(H464="Bicycle",N(F464)*INDEX('Notes and sources'!$C$9:$D$9,1,'Start here'!$C$11),0))),2))</f>
        <v/>
      </c>
      <c r="L464" s="27"/>
      <c r="N464" s="2" t="n">
        <f aca="false">IF(I464="",0,MAX(0,MIN(N(F464),INDEX('Notes and sources'!$C$12:$D$12,1,'Start here'!$C$11)-(I464-N(F464)))))</f>
        <v>0</v>
      </c>
      <c r="O464" s="2" t="n">
        <f aca="false">IF(I464="",0,N(F464)-N464)</f>
        <v>0</v>
      </c>
      <c r="P464" s="2" t="str">
        <f aca="false">IF(A464="","",IF(AND(MONTH(A464)=4,DAY(A464)&lt;6),13,MOD(MONTH(A464)-4,12)+1))</f>
        <v/>
      </c>
    </row>
    <row r="465" customFormat="false" ht="15" hidden="false" customHeight="false" outlineLevel="0" collapsed="false">
      <c r="A465" s="21"/>
      <c r="B465" s="6"/>
      <c r="C465" s="6"/>
      <c r="D465" s="6"/>
      <c r="E465" s="6"/>
      <c r="F465" s="22"/>
      <c r="G465" s="23"/>
      <c r="H465" s="24" t="str">
        <f aca="false">IF(B465="","",IFERROR(INDEX('Start here'!$C$16:$C$20,MATCH(B465,'Start here'!$B$16:$B$20,0)),"Check vehicle"))</f>
        <v/>
      </c>
      <c r="I465" s="25" t="str">
        <f aca="false">IF(OR(F465="",H465&lt;&gt;"Car or van"),"",SUMIFS($F$6:F465,$H$6:H465,"Car or van"))</f>
        <v/>
      </c>
      <c r="J465" s="24" t="str">
        <f aca="false">IF(F465="","",IF(H465="Car or van",IF(O465=0,TEXT(INDEX('Notes and sources'!$C$6:$D$6,1,'Start here'!$C$11)*100,"0")&amp;"p",IF(N465=0,TEXT(INDEX('Notes and sources'!$C$7:$D$7,1,'Start here'!$C$11)*100,"0")&amp;"p",TEXT(INDEX('Notes and sources'!$C$6:$D$6,1,'Start here'!$C$11)*100,"0")&amp;"p/"&amp;TEXT(INDEX('Notes and sources'!$C$7:$D$7,1,'Start here'!$C$11)*100,"0")&amp;"p")),IF(H465="Motorcycle",TEXT(INDEX('Notes and sources'!$C$8:$D$8,1,'Start here'!$C$11)*100,"0")&amp;"p",IF(H465="Bicycle",TEXT(INDEX('Notes and sources'!$C$9:$D$9,1,'Start here'!$C$11)*100,"0")&amp;"p",""))))</f>
        <v/>
      </c>
      <c r="K465" s="26" t="str">
        <f aca="false">IF(F465="","",ROUND(IF(H465="Car or van",N465*INDEX('Notes and sources'!$C$6:$D$6,1,'Start here'!$C$11)+O465*INDEX('Notes and sources'!$C$7:$D$7,1,'Start here'!$C$11)+N(G465)*N(F465)*INDEX('Notes and sources'!$C$10:$D$10,1,'Start here'!$C$11),IF(H465="Motorcycle",N(F465)*INDEX('Notes and sources'!$C$8:$D$8,1,'Start here'!$C$11),IF(H465="Bicycle",N(F465)*INDEX('Notes and sources'!$C$9:$D$9,1,'Start here'!$C$11),0))),2))</f>
        <v/>
      </c>
      <c r="L465" s="27"/>
      <c r="N465" s="2" t="n">
        <f aca="false">IF(I465="",0,MAX(0,MIN(N(F465),INDEX('Notes and sources'!$C$12:$D$12,1,'Start here'!$C$11)-(I465-N(F465)))))</f>
        <v>0</v>
      </c>
      <c r="O465" s="2" t="n">
        <f aca="false">IF(I465="",0,N(F465)-N465)</f>
        <v>0</v>
      </c>
      <c r="P465" s="2" t="str">
        <f aca="false">IF(A465="","",IF(AND(MONTH(A465)=4,DAY(A465)&lt;6),13,MOD(MONTH(A465)-4,12)+1))</f>
        <v/>
      </c>
    </row>
    <row r="466" customFormat="false" ht="15" hidden="false" customHeight="false" outlineLevel="0" collapsed="false">
      <c r="A466" s="21"/>
      <c r="B466" s="6"/>
      <c r="C466" s="6"/>
      <c r="D466" s="6"/>
      <c r="E466" s="6"/>
      <c r="F466" s="22"/>
      <c r="G466" s="23"/>
      <c r="H466" s="24" t="str">
        <f aca="false">IF(B466="","",IFERROR(INDEX('Start here'!$C$16:$C$20,MATCH(B466,'Start here'!$B$16:$B$20,0)),"Check vehicle"))</f>
        <v/>
      </c>
      <c r="I466" s="25" t="str">
        <f aca="false">IF(OR(F466="",H466&lt;&gt;"Car or van"),"",SUMIFS($F$6:F466,$H$6:H466,"Car or van"))</f>
        <v/>
      </c>
      <c r="J466" s="24" t="str">
        <f aca="false">IF(F466="","",IF(H466="Car or van",IF(O466=0,TEXT(INDEX('Notes and sources'!$C$6:$D$6,1,'Start here'!$C$11)*100,"0")&amp;"p",IF(N466=0,TEXT(INDEX('Notes and sources'!$C$7:$D$7,1,'Start here'!$C$11)*100,"0")&amp;"p",TEXT(INDEX('Notes and sources'!$C$6:$D$6,1,'Start here'!$C$11)*100,"0")&amp;"p/"&amp;TEXT(INDEX('Notes and sources'!$C$7:$D$7,1,'Start here'!$C$11)*100,"0")&amp;"p")),IF(H466="Motorcycle",TEXT(INDEX('Notes and sources'!$C$8:$D$8,1,'Start here'!$C$11)*100,"0")&amp;"p",IF(H466="Bicycle",TEXT(INDEX('Notes and sources'!$C$9:$D$9,1,'Start here'!$C$11)*100,"0")&amp;"p",""))))</f>
        <v/>
      </c>
      <c r="K466" s="26" t="str">
        <f aca="false">IF(F466="","",ROUND(IF(H466="Car or van",N466*INDEX('Notes and sources'!$C$6:$D$6,1,'Start here'!$C$11)+O466*INDEX('Notes and sources'!$C$7:$D$7,1,'Start here'!$C$11)+N(G466)*N(F466)*INDEX('Notes and sources'!$C$10:$D$10,1,'Start here'!$C$11),IF(H466="Motorcycle",N(F466)*INDEX('Notes and sources'!$C$8:$D$8,1,'Start here'!$C$11),IF(H466="Bicycle",N(F466)*INDEX('Notes and sources'!$C$9:$D$9,1,'Start here'!$C$11),0))),2))</f>
        <v/>
      </c>
      <c r="L466" s="27"/>
      <c r="N466" s="2" t="n">
        <f aca="false">IF(I466="",0,MAX(0,MIN(N(F466),INDEX('Notes and sources'!$C$12:$D$12,1,'Start here'!$C$11)-(I466-N(F466)))))</f>
        <v>0</v>
      </c>
      <c r="O466" s="2" t="n">
        <f aca="false">IF(I466="",0,N(F466)-N466)</f>
        <v>0</v>
      </c>
      <c r="P466" s="2" t="str">
        <f aca="false">IF(A466="","",IF(AND(MONTH(A466)=4,DAY(A466)&lt;6),13,MOD(MONTH(A466)-4,12)+1))</f>
        <v/>
      </c>
    </row>
    <row r="467" customFormat="false" ht="15" hidden="false" customHeight="false" outlineLevel="0" collapsed="false">
      <c r="A467" s="21"/>
      <c r="B467" s="6"/>
      <c r="C467" s="6"/>
      <c r="D467" s="6"/>
      <c r="E467" s="6"/>
      <c r="F467" s="22"/>
      <c r="G467" s="23"/>
      <c r="H467" s="24" t="str">
        <f aca="false">IF(B467="","",IFERROR(INDEX('Start here'!$C$16:$C$20,MATCH(B467,'Start here'!$B$16:$B$20,0)),"Check vehicle"))</f>
        <v/>
      </c>
      <c r="I467" s="25" t="str">
        <f aca="false">IF(OR(F467="",H467&lt;&gt;"Car or van"),"",SUMIFS($F$6:F467,$H$6:H467,"Car or van"))</f>
        <v/>
      </c>
      <c r="J467" s="24" t="str">
        <f aca="false">IF(F467="","",IF(H467="Car or van",IF(O467=0,TEXT(INDEX('Notes and sources'!$C$6:$D$6,1,'Start here'!$C$11)*100,"0")&amp;"p",IF(N467=0,TEXT(INDEX('Notes and sources'!$C$7:$D$7,1,'Start here'!$C$11)*100,"0")&amp;"p",TEXT(INDEX('Notes and sources'!$C$6:$D$6,1,'Start here'!$C$11)*100,"0")&amp;"p/"&amp;TEXT(INDEX('Notes and sources'!$C$7:$D$7,1,'Start here'!$C$11)*100,"0")&amp;"p")),IF(H467="Motorcycle",TEXT(INDEX('Notes and sources'!$C$8:$D$8,1,'Start here'!$C$11)*100,"0")&amp;"p",IF(H467="Bicycle",TEXT(INDEX('Notes and sources'!$C$9:$D$9,1,'Start here'!$C$11)*100,"0")&amp;"p",""))))</f>
        <v/>
      </c>
      <c r="K467" s="26" t="str">
        <f aca="false">IF(F467="","",ROUND(IF(H467="Car or van",N467*INDEX('Notes and sources'!$C$6:$D$6,1,'Start here'!$C$11)+O467*INDEX('Notes and sources'!$C$7:$D$7,1,'Start here'!$C$11)+N(G467)*N(F467)*INDEX('Notes and sources'!$C$10:$D$10,1,'Start here'!$C$11),IF(H467="Motorcycle",N(F467)*INDEX('Notes and sources'!$C$8:$D$8,1,'Start here'!$C$11),IF(H467="Bicycle",N(F467)*INDEX('Notes and sources'!$C$9:$D$9,1,'Start here'!$C$11),0))),2))</f>
        <v/>
      </c>
      <c r="L467" s="27"/>
      <c r="N467" s="2" t="n">
        <f aca="false">IF(I467="",0,MAX(0,MIN(N(F467),INDEX('Notes and sources'!$C$12:$D$12,1,'Start here'!$C$11)-(I467-N(F467)))))</f>
        <v>0</v>
      </c>
      <c r="O467" s="2" t="n">
        <f aca="false">IF(I467="",0,N(F467)-N467)</f>
        <v>0</v>
      </c>
      <c r="P467" s="2" t="str">
        <f aca="false">IF(A467="","",IF(AND(MONTH(A467)=4,DAY(A467)&lt;6),13,MOD(MONTH(A467)-4,12)+1))</f>
        <v/>
      </c>
    </row>
    <row r="468" customFormat="false" ht="15" hidden="false" customHeight="false" outlineLevel="0" collapsed="false">
      <c r="A468" s="21"/>
      <c r="B468" s="6"/>
      <c r="C468" s="6"/>
      <c r="D468" s="6"/>
      <c r="E468" s="6"/>
      <c r="F468" s="22"/>
      <c r="G468" s="23"/>
      <c r="H468" s="24" t="str">
        <f aca="false">IF(B468="","",IFERROR(INDEX('Start here'!$C$16:$C$20,MATCH(B468,'Start here'!$B$16:$B$20,0)),"Check vehicle"))</f>
        <v/>
      </c>
      <c r="I468" s="25" t="str">
        <f aca="false">IF(OR(F468="",H468&lt;&gt;"Car or van"),"",SUMIFS($F$6:F468,$H$6:H468,"Car or van"))</f>
        <v/>
      </c>
      <c r="J468" s="24" t="str">
        <f aca="false">IF(F468="","",IF(H468="Car or van",IF(O468=0,TEXT(INDEX('Notes and sources'!$C$6:$D$6,1,'Start here'!$C$11)*100,"0")&amp;"p",IF(N468=0,TEXT(INDEX('Notes and sources'!$C$7:$D$7,1,'Start here'!$C$11)*100,"0")&amp;"p",TEXT(INDEX('Notes and sources'!$C$6:$D$6,1,'Start here'!$C$11)*100,"0")&amp;"p/"&amp;TEXT(INDEX('Notes and sources'!$C$7:$D$7,1,'Start here'!$C$11)*100,"0")&amp;"p")),IF(H468="Motorcycle",TEXT(INDEX('Notes and sources'!$C$8:$D$8,1,'Start here'!$C$11)*100,"0")&amp;"p",IF(H468="Bicycle",TEXT(INDEX('Notes and sources'!$C$9:$D$9,1,'Start here'!$C$11)*100,"0")&amp;"p",""))))</f>
        <v/>
      </c>
      <c r="K468" s="26" t="str">
        <f aca="false">IF(F468="","",ROUND(IF(H468="Car or van",N468*INDEX('Notes and sources'!$C$6:$D$6,1,'Start here'!$C$11)+O468*INDEX('Notes and sources'!$C$7:$D$7,1,'Start here'!$C$11)+N(G468)*N(F468)*INDEX('Notes and sources'!$C$10:$D$10,1,'Start here'!$C$11),IF(H468="Motorcycle",N(F468)*INDEX('Notes and sources'!$C$8:$D$8,1,'Start here'!$C$11),IF(H468="Bicycle",N(F468)*INDEX('Notes and sources'!$C$9:$D$9,1,'Start here'!$C$11),0))),2))</f>
        <v/>
      </c>
      <c r="L468" s="27"/>
      <c r="N468" s="2" t="n">
        <f aca="false">IF(I468="",0,MAX(0,MIN(N(F468),INDEX('Notes and sources'!$C$12:$D$12,1,'Start here'!$C$11)-(I468-N(F468)))))</f>
        <v>0</v>
      </c>
      <c r="O468" s="2" t="n">
        <f aca="false">IF(I468="",0,N(F468)-N468)</f>
        <v>0</v>
      </c>
      <c r="P468" s="2" t="str">
        <f aca="false">IF(A468="","",IF(AND(MONTH(A468)=4,DAY(A468)&lt;6),13,MOD(MONTH(A468)-4,12)+1))</f>
        <v/>
      </c>
    </row>
    <row r="469" customFormat="false" ht="15" hidden="false" customHeight="false" outlineLevel="0" collapsed="false">
      <c r="A469" s="21"/>
      <c r="B469" s="6"/>
      <c r="C469" s="6"/>
      <c r="D469" s="6"/>
      <c r="E469" s="6"/>
      <c r="F469" s="22"/>
      <c r="G469" s="23"/>
      <c r="H469" s="24" t="str">
        <f aca="false">IF(B469="","",IFERROR(INDEX('Start here'!$C$16:$C$20,MATCH(B469,'Start here'!$B$16:$B$20,0)),"Check vehicle"))</f>
        <v/>
      </c>
      <c r="I469" s="25" t="str">
        <f aca="false">IF(OR(F469="",H469&lt;&gt;"Car or van"),"",SUMIFS($F$6:F469,$H$6:H469,"Car or van"))</f>
        <v/>
      </c>
      <c r="J469" s="24" t="str">
        <f aca="false">IF(F469="","",IF(H469="Car or van",IF(O469=0,TEXT(INDEX('Notes and sources'!$C$6:$D$6,1,'Start here'!$C$11)*100,"0")&amp;"p",IF(N469=0,TEXT(INDEX('Notes and sources'!$C$7:$D$7,1,'Start here'!$C$11)*100,"0")&amp;"p",TEXT(INDEX('Notes and sources'!$C$6:$D$6,1,'Start here'!$C$11)*100,"0")&amp;"p/"&amp;TEXT(INDEX('Notes and sources'!$C$7:$D$7,1,'Start here'!$C$11)*100,"0")&amp;"p")),IF(H469="Motorcycle",TEXT(INDEX('Notes and sources'!$C$8:$D$8,1,'Start here'!$C$11)*100,"0")&amp;"p",IF(H469="Bicycle",TEXT(INDEX('Notes and sources'!$C$9:$D$9,1,'Start here'!$C$11)*100,"0")&amp;"p",""))))</f>
        <v/>
      </c>
      <c r="K469" s="26" t="str">
        <f aca="false">IF(F469="","",ROUND(IF(H469="Car or van",N469*INDEX('Notes and sources'!$C$6:$D$6,1,'Start here'!$C$11)+O469*INDEX('Notes and sources'!$C$7:$D$7,1,'Start here'!$C$11)+N(G469)*N(F469)*INDEX('Notes and sources'!$C$10:$D$10,1,'Start here'!$C$11),IF(H469="Motorcycle",N(F469)*INDEX('Notes and sources'!$C$8:$D$8,1,'Start here'!$C$11),IF(H469="Bicycle",N(F469)*INDEX('Notes and sources'!$C$9:$D$9,1,'Start here'!$C$11),0))),2))</f>
        <v/>
      </c>
      <c r="L469" s="27"/>
      <c r="N469" s="2" t="n">
        <f aca="false">IF(I469="",0,MAX(0,MIN(N(F469),INDEX('Notes and sources'!$C$12:$D$12,1,'Start here'!$C$11)-(I469-N(F469)))))</f>
        <v>0</v>
      </c>
      <c r="O469" s="2" t="n">
        <f aca="false">IF(I469="",0,N(F469)-N469)</f>
        <v>0</v>
      </c>
      <c r="P469" s="2" t="str">
        <f aca="false">IF(A469="","",IF(AND(MONTH(A469)=4,DAY(A469)&lt;6),13,MOD(MONTH(A469)-4,12)+1))</f>
        <v/>
      </c>
    </row>
    <row r="470" customFormat="false" ht="15" hidden="false" customHeight="false" outlineLevel="0" collapsed="false">
      <c r="A470" s="21"/>
      <c r="B470" s="6"/>
      <c r="C470" s="6"/>
      <c r="D470" s="6"/>
      <c r="E470" s="6"/>
      <c r="F470" s="22"/>
      <c r="G470" s="23"/>
      <c r="H470" s="24" t="str">
        <f aca="false">IF(B470="","",IFERROR(INDEX('Start here'!$C$16:$C$20,MATCH(B470,'Start here'!$B$16:$B$20,0)),"Check vehicle"))</f>
        <v/>
      </c>
      <c r="I470" s="25" t="str">
        <f aca="false">IF(OR(F470="",H470&lt;&gt;"Car or van"),"",SUMIFS($F$6:F470,$H$6:H470,"Car or van"))</f>
        <v/>
      </c>
      <c r="J470" s="24" t="str">
        <f aca="false">IF(F470="","",IF(H470="Car or van",IF(O470=0,TEXT(INDEX('Notes and sources'!$C$6:$D$6,1,'Start here'!$C$11)*100,"0")&amp;"p",IF(N470=0,TEXT(INDEX('Notes and sources'!$C$7:$D$7,1,'Start here'!$C$11)*100,"0")&amp;"p",TEXT(INDEX('Notes and sources'!$C$6:$D$6,1,'Start here'!$C$11)*100,"0")&amp;"p/"&amp;TEXT(INDEX('Notes and sources'!$C$7:$D$7,1,'Start here'!$C$11)*100,"0")&amp;"p")),IF(H470="Motorcycle",TEXT(INDEX('Notes and sources'!$C$8:$D$8,1,'Start here'!$C$11)*100,"0")&amp;"p",IF(H470="Bicycle",TEXT(INDEX('Notes and sources'!$C$9:$D$9,1,'Start here'!$C$11)*100,"0")&amp;"p",""))))</f>
        <v/>
      </c>
      <c r="K470" s="26" t="str">
        <f aca="false">IF(F470="","",ROUND(IF(H470="Car or van",N470*INDEX('Notes and sources'!$C$6:$D$6,1,'Start here'!$C$11)+O470*INDEX('Notes and sources'!$C$7:$D$7,1,'Start here'!$C$11)+N(G470)*N(F470)*INDEX('Notes and sources'!$C$10:$D$10,1,'Start here'!$C$11),IF(H470="Motorcycle",N(F470)*INDEX('Notes and sources'!$C$8:$D$8,1,'Start here'!$C$11),IF(H470="Bicycle",N(F470)*INDEX('Notes and sources'!$C$9:$D$9,1,'Start here'!$C$11),0))),2))</f>
        <v/>
      </c>
      <c r="L470" s="27"/>
      <c r="N470" s="2" t="n">
        <f aca="false">IF(I470="",0,MAX(0,MIN(N(F470),INDEX('Notes and sources'!$C$12:$D$12,1,'Start here'!$C$11)-(I470-N(F470)))))</f>
        <v>0</v>
      </c>
      <c r="O470" s="2" t="n">
        <f aca="false">IF(I470="",0,N(F470)-N470)</f>
        <v>0</v>
      </c>
      <c r="P470" s="2" t="str">
        <f aca="false">IF(A470="","",IF(AND(MONTH(A470)=4,DAY(A470)&lt;6),13,MOD(MONTH(A470)-4,12)+1))</f>
        <v/>
      </c>
    </row>
    <row r="471" customFormat="false" ht="15" hidden="false" customHeight="false" outlineLevel="0" collapsed="false">
      <c r="A471" s="21"/>
      <c r="B471" s="6"/>
      <c r="C471" s="6"/>
      <c r="D471" s="6"/>
      <c r="E471" s="6"/>
      <c r="F471" s="22"/>
      <c r="G471" s="23"/>
      <c r="H471" s="24" t="str">
        <f aca="false">IF(B471="","",IFERROR(INDEX('Start here'!$C$16:$C$20,MATCH(B471,'Start here'!$B$16:$B$20,0)),"Check vehicle"))</f>
        <v/>
      </c>
      <c r="I471" s="25" t="str">
        <f aca="false">IF(OR(F471="",H471&lt;&gt;"Car or van"),"",SUMIFS($F$6:F471,$H$6:H471,"Car or van"))</f>
        <v/>
      </c>
      <c r="J471" s="24" t="str">
        <f aca="false">IF(F471="","",IF(H471="Car or van",IF(O471=0,TEXT(INDEX('Notes and sources'!$C$6:$D$6,1,'Start here'!$C$11)*100,"0")&amp;"p",IF(N471=0,TEXT(INDEX('Notes and sources'!$C$7:$D$7,1,'Start here'!$C$11)*100,"0")&amp;"p",TEXT(INDEX('Notes and sources'!$C$6:$D$6,1,'Start here'!$C$11)*100,"0")&amp;"p/"&amp;TEXT(INDEX('Notes and sources'!$C$7:$D$7,1,'Start here'!$C$11)*100,"0")&amp;"p")),IF(H471="Motorcycle",TEXT(INDEX('Notes and sources'!$C$8:$D$8,1,'Start here'!$C$11)*100,"0")&amp;"p",IF(H471="Bicycle",TEXT(INDEX('Notes and sources'!$C$9:$D$9,1,'Start here'!$C$11)*100,"0")&amp;"p",""))))</f>
        <v/>
      </c>
      <c r="K471" s="26" t="str">
        <f aca="false">IF(F471="","",ROUND(IF(H471="Car or van",N471*INDEX('Notes and sources'!$C$6:$D$6,1,'Start here'!$C$11)+O471*INDEX('Notes and sources'!$C$7:$D$7,1,'Start here'!$C$11)+N(G471)*N(F471)*INDEX('Notes and sources'!$C$10:$D$10,1,'Start here'!$C$11),IF(H471="Motorcycle",N(F471)*INDEX('Notes and sources'!$C$8:$D$8,1,'Start here'!$C$11),IF(H471="Bicycle",N(F471)*INDEX('Notes and sources'!$C$9:$D$9,1,'Start here'!$C$11),0))),2))</f>
        <v/>
      </c>
      <c r="L471" s="27"/>
      <c r="N471" s="2" t="n">
        <f aca="false">IF(I471="",0,MAX(0,MIN(N(F471),INDEX('Notes and sources'!$C$12:$D$12,1,'Start here'!$C$11)-(I471-N(F471)))))</f>
        <v>0</v>
      </c>
      <c r="O471" s="2" t="n">
        <f aca="false">IF(I471="",0,N(F471)-N471)</f>
        <v>0</v>
      </c>
      <c r="P471" s="2" t="str">
        <f aca="false">IF(A471="","",IF(AND(MONTH(A471)=4,DAY(A471)&lt;6),13,MOD(MONTH(A471)-4,12)+1))</f>
        <v/>
      </c>
    </row>
    <row r="472" customFormat="false" ht="15" hidden="false" customHeight="false" outlineLevel="0" collapsed="false">
      <c r="A472" s="21"/>
      <c r="B472" s="6"/>
      <c r="C472" s="6"/>
      <c r="D472" s="6"/>
      <c r="E472" s="6"/>
      <c r="F472" s="22"/>
      <c r="G472" s="23"/>
      <c r="H472" s="24" t="str">
        <f aca="false">IF(B472="","",IFERROR(INDEX('Start here'!$C$16:$C$20,MATCH(B472,'Start here'!$B$16:$B$20,0)),"Check vehicle"))</f>
        <v/>
      </c>
      <c r="I472" s="25" t="str">
        <f aca="false">IF(OR(F472="",H472&lt;&gt;"Car or van"),"",SUMIFS($F$6:F472,$H$6:H472,"Car or van"))</f>
        <v/>
      </c>
      <c r="J472" s="24" t="str">
        <f aca="false">IF(F472="","",IF(H472="Car or van",IF(O472=0,TEXT(INDEX('Notes and sources'!$C$6:$D$6,1,'Start here'!$C$11)*100,"0")&amp;"p",IF(N472=0,TEXT(INDEX('Notes and sources'!$C$7:$D$7,1,'Start here'!$C$11)*100,"0")&amp;"p",TEXT(INDEX('Notes and sources'!$C$6:$D$6,1,'Start here'!$C$11)*100,"0")&amp;"p/"&amp;TEXT(INDEX('Notes and sources'!$C$7:$D$7,1,'Start here'!$C$11)*100,"0")&amp;"p")),IF(H472="Motorcycle",TEXT(INDEX('Notes and sources'!$C$8:$D$8,1,'Start here'!$C$11)*100,"0")&amp;"p",IF(H472="Bicycle",TEXT(INDEX('Notes and sources'!$C$9:$D$9,1,'Start here'!$C$11)*100,"0")&amp;"p",""))))</f>
        <v/>
      </c>
      <c r="K472" s="26" t="str">
        <f aca="false">IF(F472="","",ROUND(IF(H472="Car or van",N472*INDEX('Notes and sources'!$C$6:$D$6,1,'Start here'!$C$11)+O472*INDEX('Notes and sources'!$C$7:$D$7,1,'Start here'!$C$11)+N(G472)*N(F472)*INDEX('Notes and sources'!$C$10:$D$10,1,'Start here'!$C$11),IF(H472="Motorcycle",N(F472)*INDEX('Notes and sources'!$C$8:$D$8,1,'Start here'!$C$11),IF(H472="Bicycle",N(F472)*INDEX('Notes and sources'!$C$9:$D$9,1,'Start here'!$C$11),0))),2))</f>
        <v/>
      </c>
      <c r="L472" s="27"/>
      <c r="N472" s="2" t="n">
        <f aca="false">IF(I472="",0,MAX(0,MIN(N(F472),INDEX('Notes and sources'!$C$12:$D$12,1,'Start here'!$C$11)-(I472-N(F472)))))</f>
        <v>0</v>
      </c>
      <c r="O472" s="2" t="n">
        <f aca="false">IF(I472="",0,N(F472)-N472)</f>
        <v>0</v>
      </c>
      <c r="P472" s="2" t="str">
        <f aca="false">IF(A472="","",IF(AND(MONTH(A472)=4,DAY(A472)&lt;6),13,MOD(MONTH(A472)-4,12)+1))</f>
        <v/>
      </c>
    </row>
    <row r="473" customFormat="false" ht="15" hidden="false" customHeight="false" outlineLevel="0" collapsed="false">
      <c r="A473" s="21"/>
      <c r="B473" s="6"/>
      <c r="C473" s="6"/>
      <c r="D473" s="6"/>
      <c r="E473" s="6"/>
      <c r="F473" s="22"/>
      <c r="G473" s="23"/>
      <c r="H473" s="24" t="str">
        <f aca="false">IF(B473="","",IFERROR(INDEX('Start here'!$C$16:$C$20,MATCH(B473,'Start here'!$B$16:$B$20,0)),"Check vehicle"))</f>
        <v/>
      </c>
      <c r="I473" s="25" t="str">
        <f aca="false">IF(OR(F473="",H473&lt;&gt;"Car or van"),"",SUMIFS($F$6:F473,$H$6:H473,"Car or van"))</f>
        <v/>
      </c>
      <c r="J473" s="24" t="str">
        <f aca="false">IF(F473="","",IF(H473="Car or van",IF(O473=0,TEXT(INDEX('Notes and sources'!$C$6:$D$6,1,'Start here'!$C$11)*100,"0")&amp;"p",IF(N473=0,TEXT(INDEX('Notes and sources'!$C$7:$D$7,1,'Start here'!$C$11)*100,"0")&amp;"p",TEXT(INDEX('Notes and sources'!$C$6:$D$6,1,'Start here'!$C$11)*100,"0")&amp;"p/"&amp;TEXT(INDEX('Notes and sources'!$C$7:$D$7,1,'Start here'!$C$11)*100,"0")&amp;"p")),IF(H473="Motorcycle",TEXT(INDEX('Notes and sources'!$C$8:$D$8,1,'Start here'!$C$11)*100,"0")&amp;"p",IF(H473="Bicycle",TEXT(INDEX('Notes and sources'!$C$9:$D$9,1,'Start here'!$C$11)*100,"0")&amp;"p",""))))</f>
        <v/>
      </c>
      <c r="K473" s="26" t="str">
        <f aca="false">IF(F473="","",ROUND(IF(H473="Car or van",N473*INDEX('Notes and sources'!$C$6:$D$6,1,'Start here'!$C$11)+O473*INDEX('Notes and sources'!$C$7:$D$7,1,'Start here'!$C$11)+N(G473)*N(F473)*INDEX('Notes and sources'!$C$10:$D$10,1,'Start here'!$C$11),IF(H473="Motorcycle",N(F473)*INDEX('Notes and sources'!$C$8:$D$8,1,'Start here'!$C$11),IF(H473="Bicycle",N(F473)*INDEX('Notes and sources'!$C$9:$D$9,1,'Start here'!$C$11),0))),2))</f>
        <v/>
      </c>
      <c r="L473" s="27"/>
      <c r="N473" s="2" t="n">
        <f aca="false">IF(I473="",0,MAX(0,MIN(N(F473),INDEX('Notes and sources'!$C$12:$D$12,1,'Start here'!$C$11)-(I473-N(F473)))))</f>
        <v>0</v>
      </c>
      <c r="O473" s="2" t="n">
        <f aca="false">IF(I473="",0,N(F473)-N473)</f>
        <v>0</v>
      </c>
      <c r="P473" s="2" t="str">
        <f aca="false">IF(A473="","",IF(AND(MONTH(A473)=4,DAY(A473)&lt;6),13,MOD(MONTH(A473)-4,12)+1))</f>
        <v/>
      </c>
    </row>
    <row r="474" customFormat="false" ht="15" hidden="false" customHeight="false" outlineLevel="0" collapsed="false">
      <c r="A474" s="21"/>
      <c r="B474" s="6"/>
      <c r="C474" s="6"/>
      <c r="D474" s="6"/>
      <c r="E474" s="6"/>
      <c r="F474" s="22"/>
      <c r="G474" s="23"/>
      <c r="H474" s="24" t="str">
        <f aca="false">IF(B474="","",IFERROR(INDEX('Start here'!$C$16:$C$20,MATCH(B474,'Start here'!$B$16:$B$20,0)),"Check vehicle"))</f>
        <v/>
      </c>
      <c r="I474" s="25" t="str">
        <f aca="false">IF(OR(F474="",H474&lt;&gt;"Car or van"),"",SUMIFS($F$6:F474,$H$6:H474,"Car or van"))</f>
        <v/>
      </c>
      <c r="J474" s="24" t="str">
        <f aca="false">IF(F474="","",IF(H474="Car or van",IF(O474=0,TEXT(INDEX('Notes and sources'!$C$6:$D$6,1,'Start here'!$C$11)*100,"0")&amp;"p",IF(N474=0,TEXT(INDEX('Notes and sources'!$C$7:$D$7,1,'Start here'!$C$11)*100,"0")&amp;"p",TEXT(INDEX('Notes and sources'!$C$6:$D$6,1,'Start here'!$C$11)*100,"0")&amp;"p/"&amp;TEXT(INDEX('Notes and sources'!$C$7:$D$7,1,'Start here'!$C$11)*100,"0")&amp;"p")),IF(H474="Motorcycle",TEXT(INDEX('Notes and sources'!$C$8:$D$8,1,'Start here'!$C$11)*100,"0")&amp;"p",IF(H474="Bicycle",TEXT(INDEX('Notes and sources'!$C$9:$D$9,1,'Start here'!$C$11)*100,"0")&amp;"p",""))))</f>
        <v/>
      </c>
      <c r="K474" s="26" t="str">
        <f aca="false">IF(F474="","",ROUND(IF(H474="Car or van",N474*INDEX('Notes and sources'!$C$6:$D$6,1,'Start here'!$C$11)+O474*INDEX('Notes and sources'!$C$7:$D$7,1,'Start here'!$C$11)+N(G474)*N(F474)*INDEX('Notes and sources'!$C$10:$D$10,1,'Start here'!$C$11),IF(H474="Motorcycle",N(F474)*INDEX('Notes and sources'!$C$8:$D$8,1,'Start here'!$C$11),IF(H474="Bicycle",N(F474)*INDEX('Notes and sources'!$C$9:$D$9,1,'Start here'!$C$11),0))),2))</f>
        <v/>
      </c>
      <c r="L474" s="27"/>
      <c r="N474" s="2" t="n">
        <f aca="false">IF(I474="",0,MAX(0,MIN(N(F474),INDEX('Notes and sources'!$C$12:$D$12,1,'Start here'!$C$11)-(I474-N(F474)))))</f>
        <v>0</v>
      </c>
      <c r="O474" s="2" t="n">
        <f aca="false">IF(I474="",0,N(F474)-N474)</f>
        <v>0</v>
      </c>
      <c r="P474" s="2" t="str">
        <f aca="false">IF(A474="","",IF(AND(MONTH(A474)=4,DAY(A474)&lt;6),13,MOD(MONTH(A474)-4,12)+1))</f>
        <v/>
      </c>
    </row>
    <row r="475" customFormat="false" ht="15" hidden="false" customHeight="false" outlineLevel="0" collapsed="false">
      <c r="A475" s="21"/>
      <c r="B475" s="6"/>
      <c r="C475" s="6"/>
      <c r="D475" s="6"/>
      <c r="E475" s="6"/>
      <c r="F475" s="22"/>
      <c r="G475" s="23"/>
      <c r="H475" s="24" t="str">
        <f aca="false">IF(B475="","",IFERROR(INDEX('Start here'!$C$16:$C$20,MATCH(B475,'Start here'!$B$16:$B$20,0)),"Check vehicle"))</f>
        <v/>
      </c>
      <c r="I475" s="25" t="str">
        <f aca="false">IF(OR(F475="",H475&lt;&gt;"Car or van"),"",SUMIFS($F$6:F475,$H$6:H475,"Car or van"))</f>
        <v/>
      </c>
      <c r="J475" s="24" t="str">
        <f aca="false">IF(F475="","",IF(H475="Car or van",IF(O475=0,TEXT(INDEX('Notes and sources'!$C$6:$D$6,1,'Start here'!$C$11)*100,"0")&amp;"p",IF(N475=0,TEXT(INDEX('Notes and sources'!$C$7:$D$7,1,'Start here'!$C$11)*100,"0")&amp;"p",TEXT(INDEX('Notes and sources'!$C$6:$D$6,1,'Start here'!$C$11)*100,"0")&amp;"p/"&amp;TEXT(INDEX('Notes and sources'!$C$7:$D$7,1,'Start here'!$C$11)*100,"0")&amp;"p")),IF(H475="Motorcycle",TEXT(INDEX('Notes and sources'!$C$8:$D$8,1,'Start here'!$C$11)*100,"0")&amp;"p",IF(H475="Bicycle",TEXT(INDEX('Notes and sources'!$C$9:$D$9,1,'Start here'!$C$11)*100,"0")&amp;"p",""))))</f>
        <v/>
      </c>
      <c r="K475" s="26" t="str">
        <f aca="false">IF(F475="","",ROUND(IF(H475="Car or van",N475*INDEX('Notes and sources'!$C$6:$D$6,1,'Start here'!$C$11)+O475*INDEX('Notes and sources'!$C$7:$D$7,1,'Start here'!$C$11)+N(G475)*N(F475)*INDEX('Notes and sources'!$C$10:$D$10,1,'Start here'!$C$11),IF(H475="Motorcycle",N(F475)*INDEX('Notes and sources'!$C$8:$D$8,1,'Start here'!$C$11),IF(H475="Bicycle",N(F475)*INDEX('Notes and sources'!$C$9:$D$9,1,'Start here'!$C$11),0))),2))</f>
        <v/>
      </c>
      <c r="L475" s="27"/>
      <c r="N475" s="2" t="n">
        <f aca="false">IF(I475="",0,MAX(0,MIN(N(F475),INDEX('Notes and sources'!$C$12:$D$12,1,'Start here'!$C$11)-(I475-N(F475)))))</f>
        <v>0</v>
      </c>
      <c r="O475" s="2" t="n">
        <f aca="false">IF(I475="",0,N(F475)-N475)</f>
        <v>0</v>
      </c>
      <c r="P475" s="2" t="str">
        <f aca="false">IF(A475="","",IF(AND(MONTH(A475)=4,DAY(A475)&lt;6),13,MOD(MONTH(A475)-4,12)+1))</f>
        <v/>
      </c>
    </row>
    <row r="476" customFormat="false" ht="15" hidden="false" customHeight="false" outlineLevel="0" collapsed="false">
      <c r="A476" s="21"/>
      <c r="B476" s="6"/>
      <c r="C476" s="6"/>
      <c r="D476" s="6"/>
      <c r="E476" s="6"/>
      <c r="F476" s="22"/>
      <c r="G476" s="23"/>
      <c r="H476" s="24" t="str">
        <f aca="false">IF(B476="","",IFERROR(INDEX('Start here'!$C$16:$C$20,MATCH(B476,'Start here'!$B$16:$B$20,0)),"Check vehicle"))</f>
        <v/>
      </c>
      <c r="I476" s="25" t="str">
        <f aca="false">IF(OR(F476="",H476&lt;&gt;"Car or van"),"",SUMIFS($F$6:F476,$H$6:H476,"Car or van"))</f>
        <v/>
      </c>
      <c r="J476" s="24" t="str">
        <f aca="false">IF(F476="","",IF(H476="Car or van",IF(O476=0,TEXT(INDEX('Notes and sources'!$C$6:$D$6,1,'Start here'!$C$11)*100,"0")&amp;"p",IF(N476=0,TEXT(INDEX('Notes and sources'!$C$7:$D$7,1,'Start here'!$C$11)*100,"0")&amp;"p",TEXT(INDEX('Notes and sources'!$C$6:$D$6,1,'Start here'!$C$11)*100,"0")&amp;"p/"&amp;TEXT(INDEX('Notes and sources'!$C$7:$D$7,1,'Start here'!$C$11)*100,"0")&amp;"p")),IF(H476="Motorcycle",TEXT(INDEX('Notes and sources'!$C$8:$D$8,1,'Start here'!$C$11)*100,"0")&amp;"p",IF(H476="Bicycle",TEXT(INDEX('Notes and sources'!$C$9:$D$9,1,'Start here'!$C$11)*100,"0")&amp;"p",""))))</f>
        <v/>
      </c>
      <c r="K476" s="26" t="str">
        <f aca="false">IF(F476="","",ROUND(IF(H476="Car or van",N476*INDEX('Notes and sources'!$C$6:$D$6,1,'Start here'!$C$11)+O476*INDEX('Notes and sources'!$C$7:$D$7,1,'Start here'!$C$11)+N(G476)*N(F476)*INDEX('Notes and sources'!$C$10:$D$10,1,'Start here'!$C$11),IF(H476="Motorcycle",N(F476)*INDEX('Notes and sources'!$C$8:$D$8,1,'Start here'!$C$11),IF(H476="Bicycle",N(F476)*INDEX('Notes and sources'!$C$9:$D$9,1,'Start here'!$C$11),0))),2))</f>
        <v/>
      </c>
      <c r="L476" s="27"/>
      <c r="N476" s="2" t="n">
        <f aca="false">IF(I476="",0,MAX(0,MIN(N(F476),INDEX('Notes and sources'!$C$12:$D$12,1,'Start here'!$C$11)-(I476-N(F476)))))</f>
        <v>0</v>
      </c>
      <c r="O476" s="2" t="n">
        <f aca="false">IF(I476="",0,N(F476)-N476)</f>
        <v>0</v>
      </c>
      <c r="P476" s="2" t="str">
        <f aca="false">IF(A476="","",IF(AND(MONTH(A476)=4,DAY(A476)&lt;6),13,MOD(MONTH(A476)-4,12)+1))</f>
        <v/>
      </c>
    </row>
    <row r="477" customFormat="false" ht="15" hidden="false" customHeight="false" outlineLevel="0" collapsed="false">
      <c r="A477" s="21"/>
      <c r="B477" s="6"/>
      <c r="C477" s="6"/>
      <c r="D477" s="6"/>
      <c r="E477" s="6"/>
      <c r="F477" s="22"/>
      <c r="G477" s="23"/>
      <c r="H477" s="24" t="str">
        <f aca="false">IF(B477="","",IFERROR(INDEX('Start here'!$C$16:$C$20,MATCH(B477,'Start here'!$B$16:$B$20,0)),"Check vehicle"))</f>
        <v/>
      </c>
      <c r="I477" s="25" t="str">
        <f aca="false">IF(OR(F477="",H477&lt;&gt;"Car or van"),"",SUMIFS($F$6:F477,$H$6:H477,"Car or van"))</f>
        <v/>
      </c>
      <c r="J477" s="24" t="str">
        <f aca="false">IF(F477="","",IF(H477="Car or van",IF(O477=0,TEXT(INDEX('Notes and sources'!$C$6:$D$6,1,'Start here'!$C$11)*100,"0")&amp;"p",IF(N477=0,TEXT(INDEX('Notes and sources'!$C$7:$D$7,1,'Start here'!$C$11)*100,"0")&amp;"p",TEXT(INDEX('Notes and sources'!$C$6:$D$6,1,'Start here'!$C$11)*100,"0")&amp;"p/"&amp;TEXT(INDEX('Notes and sources'!$C$7:$D$7,1,'Start here'!$C$11)*100,"0")&amp;"p")),IF(H477="Motorcycle",TEXT(INDEX('Notes and sources'!$C$8:$D$8,1,'Start here'!$C$11)*100,"0")&amp;"p",IF(H477="Bicycle",TEXT(INDEX('Notes and sources'!$C$9:$D$9,1,'Start here'!$C$11)*100,"0")&amp;"p",""))))</f>
        <v/>
      </c>
      <c r="K477" s="26" t="str">
        <f aca="false">IF(F477="","",ROUND(IF(H477="Car or van",N477*INDEX('Notes and sources'!$C$6:$D$6,1,'Start here'!$C$11)+O477*INDEX('Notes and sources'!$C$7:$D$7,1,'Start here'!$C$11)+N(G477)*N(F477)*INDEX('Notes and sources'!$C$10:$D$10,1,'Start here'!$C$11),IF(H477="Motorcycle",N(F477)*INDEX('Notes and sources'!$C$8:$D$8,1,'Start here'!$C$11),IF(H477="Bicycle",N(F477)*INDEX('Notes and sources'!$C$9:$D$9,1,'Start here'!$C$11),0))),2))</f>
        <v/>
      </c>
      <c r="L477" s="27"/>
      <c r="N477" s="2" t="n">
        <f aca="false">IF(I477="",0,MAX(0,MIN(N(F477),INDEX('Notes and sources'!$C$12:$D$12,1,'Start here'!$C$11)-(I477-N(F477)))))</f>
        <v>0</v>
      </c>
      <c r="O477" s="2" t="n">
        <f aca="false">IF(I477="",0,N(F477)-N477)</f>
        <v>0</v>
      </c>
      <c r="P477" s="2" t="str">
        <f aca="false">IF(A477="","",IF(AND(MONTH(A477)=4,DAY(A477)&lt;6),13,MOD(MONTH(A477)-4,12)+1))</f>
        <v/>
      </c>
    </row>
    <row r="478" customFormat="false" ht="15" hidden="false" customHeight="false" outlineLevel="0" collapsed="false">
      <c r="A478" s="21"/>
      <c r="B478" s="6"/>
      <c r="C478" s="6"/>
      <c r="D478" s="6"/>
      <c r="E478" s="6"/>
      <c r="F478" s="22"/>
      <c r="G478" s="23"/>
      <c r="H478" s="24" t="str">
        <f aca="false">IF(B478="","",IFERROR(INDEX('Start here'!$C$16:$C$20,MATCH(B478,'Start here'!$B$16:$B$20,0)),"Check vehicle"))</f>
        <v/>
      </c>
      <c r="I478" s="25" t="str">
        <f aca="false">IF(OR(F478="",H478&lt;&gt;"Car or van"),"",SUMIFS($F$6:F478,$H$6:H478,"Car or van"))</f>
        <v/>
      </c>
      <c r="J478" s="24" t="str">
        <f aca="false">IF(F478="","",IF(H478="Car or van",IF(O478=0,TEXT(INDEX('Notes and sources'!$C$6:$D$6,1,'Start here'!$C$11)*100,"0")&amp;"p",IF(N478=0,TEXT(INDEX('Notes and sources'!$C$7:$D$7,1,'Start here'!$C$11)*100,"0")&amp;"p",TEXT(INDEX('Notes and sources'!$C$6:$D$6,1,'Start here'!$C$11)*100,"0")&amp;"p/"&amp;TEXT(INDEX('Notes and sources'!$C$7:$D$7,1,'Start here'!$C$11)*100,"0")&amp;"p")),IF(H478="Motorcycle",TEXT(INDEX('Notes and sources'!$C$8:$D$8,1,'Start here'!$C$11)*100,"0")&amp;"p",IF(H478="Bicycle",TEXT(INDEX('Notes and sources'!$C$9:$D$9,1,'Start here'!$C$11)*100,"0")&amp;"p",""))))</f>
        <v/>
      </c>
      <c r="K478" s="26" t="str">
        <f aca="false">IF(F478="","",ROUND(IF(H478="Car or van",N478*INDEX('Notes and sources'!$C$6:$D$6,1,'Start here'!$C$11)+O478*INDEX('Notes and sources'!$C$7:$D$7,1,'Start here'!$C$11)+N(G478)*N(F478)*INDEX('Notes and sources'!$C$10:$D$10,1,'Start here'!$C$11),IF(H478="Motorcycle",N(F478)*INDEX('Notes and sources'!$C$8:$D$8,1,'Start here'!$C$11),IF(H478="Bicycle",N(F478)*INDEX('Notes and sources'!$C$9:$D$9,1,'Start here'!$C$11),0))),2))</f>
        <v/>
      </c>
      <c r="L478" s="27"/>
      <c r="N478" s="2" t="n">
        <f aca="false">IF(I478="",0,MAX(0,MIN(N(F478),INDEX('Notes and sources'!$C$12:$D$12,1,'Start here'!$C$11)-(I478-N(F478)))))</f>
        <v>0</v>
      </c>
      <c r="O478" s="2" t="n">
        <f aca="false">IF(I478="",0,N(F478)-N478)</f>
        <v>0</v>
      </c>
      <c r="P478" s="2" t="str">
        <f aca="false">IF(A478="","",IF(AND(MONTH(A478)=4,DAY(A478)&lt;6),13,MOD(MONTH(A478)-4,12)+1))</f>
        <v/>
      </c>
    </row>
    <row r="479" customFormat="false" ht="15" hidden="false" customHeight="false" outlineLevel="0" collapsed="false">
      <c r="A479" s="21"/>
      <c r="B479" s="6"/>
      <c r="C479" s="6"/>
      <c r="D479" s="6"/>
      <c r="E479" s="6"/>
      <c r="F479" s="22"/>
      <c r="G479" s="23"/>
      <c r="H479" s="24" t="str">
        <f aca="false">IF(B479="","",IFERROR(INDEX('Start here'!$C$16:$C$20,MATCH(B479,'Start here'!$B$16:$B$20,0)),"Check vehicle"))</f>
        <v/>
      </c>
      <c r="I479" s="25" t="str">
        <f aca="false">IF(OR(F479="",H479&lt;&gt;"Car or van"),"",SUMIFS($F$6:F479,$H$6:H479,"Car or van"))</f>
        <v/>
      </c>
      <c r="J479" s="24" t="str">
        <f aca="false">IF(F479="","",IF(H479="Car or van",IF(O479=0,TEXT(INDEX('Notes and sources'!$C$6:$D$6,1,'Start here'!$C$11)*100,"0")&amp;"p",IF(N479=0,TEXT(INDEX('Notes and sources'!$C$7:$D$7,1,'Start here'!$C$11)*100,"0")&amp;"p",TEXT(INDEX('Notes and sources'!$C$6:$D$6,1,'Start here'!$C$11)*100,"0")&amp;"p/"&amp;TEXT(INDEX('Notes and sources'!$C$7:$D$7,1,'Start here'!$C$11)*100,"0")&amp;"p")),IF(H479="Motorcycle",TEXT(INDEX('Notes and sources'!$C$8:$D$8,1,'Start here'!$C$11)*100,"0")&amp;"p",IF(H479="Bicycle",TEXT(INDEX('Notes and sources'!$C$9:$D$9,1,'Start here'!$C$11)*100,"0")&amp;"p",""))))</f>
        <v/>
      </c>
      <c r="K479" s="26" t="str">
        <f aca="false">IF(F479="","",ROUND(IF(H479="Car or van",N479*INDEX('Notes and sources'!$C$6:$D$6,1,'Start here'!$C$11)+O479*INDEX('Notes and sources'!$C$7:$D$7,1,'Start here'!$C$11)+N(G479)*N(F479)*INDEX('Notes and sources'!$C$10:$D$10,1,'Start here'!$C$11),IF(H479="Motorcycle",N(F479)*INDEX('Notes and sources'!$C$8:$D$8,1,'Start here'!$C$11),IF(H479="Bicycle",N(F479)*INDEX('Notes and sources'!$C$9:$D$9,1,'Start here'!$C$11),0))),2))</f>
        <v/>
      </c>
      <c r="L479" s="27"/>
      <c r="N479" s="2" t="n">
        <f aca="false">IF(I479="",0,MAX(0,MIN(N(F479),INDEX('Notes and sources'!$C$12:$D$12,1,'Start here'!$C$11)-(I479-N(F479)))))</f>
        <v>0</v>
      </c>
      <c r="O479" s="2" t="n">
        <f aca="false">IF(I479="",0,N(F479)-N479)</f>
        <v>0</v>
      </c>
      <c r="P479" s="2" t="str">
        <f aca="false">IF(A479="","",IF(AND(MONTH(A479)=4,DAY(A479)&lt;6),13,MOD(MONTH(A479)-4,12)+1))</f>
        <v/>
      </c>
    </row>
    <row r="480" customFormat="false" ht="15" hidden="false" customHeight="false" outlineLevel="0" collapsed="false">
      <c r="A480" s="21"/>
      <c r="B480" s="6"/>
      <c r="C480" s="6"/>
      <c r="D480" s="6"/>
      <c r="E480" s="6"/>
      <c r="F480" s="22"/>
      <c r="G480" s="23"/>
      <c r="H480" s="24" t="str">
        <f aca="false">IF(B480="","",IFERROR(INDEX('Start here'!$C$16:$C$20,MATCH(B480,'Start here'!$B$16:$B$20,0)),"Check vehicle"))</f>
        <v/>
      </c>
      <c r="I480" s="25" t="str">
        <f aca="false">IF(OR(F480="",H480&lt;&gt;"Car or van"),"",SUMIFS($F$6:F480,$H$6:H480,"Car or van"))</f>
        <v/>
      </c>
      <c r="J480" s="24" t="str">
        <f aca="false">IF(F480="","",IF(H480="Car or van",IF(O480=0,TEXT(INDEX('Notes and sources'!$C$6:$D$6,1,'Start here'!$C$11)*100,"0")&amp;"p",IF(N480=0,TEXT(INDEX('Notes and sources'!$C$7:$D$7,1,'Start here'!$C$11)*100,"0")&amp;"p",TEXT(INDEX('Notes and sources'!$C$6:$D$6,1,'Start here'!$C$11)*100,"0")&amp;"p/"&amp;TEXT(INDEX('Notes and sources'!$C$7:$D$7,1,'Start here'!$C$11)*100,"0")&amp;"p")),IF(H480="Motorcycle",TEXT(INDEX('Notes and sources'!$C$8:$D$8,1,'Start here'!$C$11)*100,"0")&amp;"p",IF(H480="Bicycle",TEXT(INDEX('Notes and sources'!$C$9:$D$9,1,'Start here'!$C$11)*100,"0")&amp;"p",""))))</f>
        <v/>
      </c>
      <c r="K480" s="26" t="str">
        <f aca="false">IF(F480="","",ROUND(IF(H480="Car or van",N480*INDEX('Notes and sources'!$C$6:$D$6,1,'Start here'!$C$11)+O480*INDEX('Notes and sources'!$C$7:$D$7,1,'Start here'!$C$11)+N(G480)*N(F480)*INDEX('Notes and sources'!$C$10:$D$10,1,'Start here'!$C$11),IF(H480="Motorcycle",N(F480)*INDEX('Notes and sources'!$C$8:$D$8,1,'Start here'!$C$11),IF(H480="Bicycle",N(F480)*INDEX('Notes and sources'!$C$9:$D$9,1,'Start here'!$C$11),0))),2))</f>
        <v/>
      </c>
      <c r="L480" s="27"/>
      <c r="N480" s="2" t="n">
        <f aca="false">IF(I480="",0,MAX(0,MIN(N(F480),INDEX('Notes and sources'!$C$12:$D$12,1,'Start here'!$C$11)-(I480-N(F480)))))</f>
        <v>0</v>
      </c>
      <c r="O480" s="2" t="n">
        <f aca="false">IF(I480="",0,N(F480)-N480)</f>
        <v>0</v>
      </c>
      <c r="P480" s="2" t="str">
        <f aca="false">IF(A480="","",IF(AND(MONTH(A480)=4,DAY(A480)&lt;6),13,MOD(MONTH(A480)-4,12)+1))</f>
        <v/>
      </c>
    </row>
    <row r="481" customFormat="false" ht="15" hidden="false" customHeight="false" outlineLevel="0" collapsed="false">
      <c r="A481" s="21"/>
      <c r="B481" s="6"/>
      <c r="C481" s="6"/>
      <c r="D481" s="6"/>
      <c r="E481" s="6"/>
      <c r="F481" s="22"/>
      <c r="G481" s="23"/>
      <c r="H481" s="24" t="str">
        <f aca="false">IF(B481="","",IFERROR(INDEX('Start here'!$C$16:$C$20,MATCH(B481,'Start here'!$B$16:$B$20,0)),"Check vehicle"))</f>
        <v/>
      </c>
      <c r="I481" s="25" t="str">
        <f aca="false">IF(OR(F481="",H481&lt;&gt;"Car or van"),"",SUMIFS($F$6:F481,$H$6:H481,"Car or van"))</f>
        <v/>
      </c>
      <c r="J481" s="24" t="str">
        <f aca="false">IF(F481="","",IF(H481="Car or van",IF(O481=0,TEXT(INDEX('Notes and sources'!$C$6:$D$6,1,'Start here'!$C$11)*100,"0")&amp;"p",IF(N481=0,TEXT(INDEX('Notes and sources'!$C$7:$D$7,1,'Start here'!$C$11)*100,"0")&amp;"p",TEXT(INDEX('Notes and sources'!$C$6:$D$6,1,'Start here'!$C$11)*100,"0")&amp;"p/"&amp;TEXT(INDEX('Notes and sources'!$C$7:$D$7,1,'Start here'!$C$11)*100,"0")&amp;"p")),IF(H481="Motorcycle",TEXT(INDEX('Notes and sources'!$C$8:$D$8,1,'Start here'!$C$11)*100,"0")&amp;"p",IF(H481="Bicycle",TEXT(INDEX('Notes and sources'!$C$9:$D$9,1,'Start here'!$C$11)*100,"0")&amp;"p",""))))</f>
        <v/>
      </c>
      <c r="K481" s="26" t="str">
        <f aca="false">IF(F481="","",ROUND(IF(H481="Car or van",N481*INDEX('Notes and sources'!$C$6:$D$6,1,'Start here'!$C$11)+O481*INDEX('Notes and sources'!$C$7:$D$7,1,'Start here'!$C$11)+N(G481)*N(F481)*INDEX('Notes and sources'!$C$10:$D$10,1,'Start here'!$C$11),IF(H481="Motorcycle",N(F481)*INDEX('Notes and sources'!$C$8:$D$8,1,'Start here'!$C$11),IF(H481="Bicycle",N(F481)*INDEX('Notes and sources'!$C$9:$D$9,1,'Start here'!$C$11),0))),2))</f>
        <v/>
      </c>
      <c r="L481" s="27"/>
      <c r="N481" s="2" t="n">
        <f aca="false">IF(I481="",0,MAX(0,MIN(N(F481),INDEX('Notes and sources'!$C$12:$D$12,1,'Start here'!$C$11)-(I481-N(F481)))))</f>
        <v>0</v>
      </c>
      <c r="O481" s="2" t="n">
        <f aca="false">IF(I481="",0,N(F481)-N481)</f>
        <v>0</v>
      </c>
      <c r="P481" s="2" t="str">
        <f aca="false">IF(A481="","",IF(AND(MONTH(A481)=4,DAY(A481)&lt;6),13,MOD(MONTH(A481)-4,12)+1))</f>
        <v/>
      </c>
    </row>
    <row r="482" customFormat="false" ht="15" hidden="false" customHeight="false" outlineLevel="0" collapsed="false">
      <c r="A482" s="21"/>
      <c r="B482" s="6"/>
      <c r="C482" s="6"/>
      <c r="D482" s="6"/>
      <c r="E482" s="6"/>
      <c r="F482" s="22"/>
      <c r="G482" s="23"/>
      <c r="H482" s="24" t="str">
        <f aca="false">IF(B482="","",IFERROR(INDEX('Start here'!$C$16:$C$20,MATCH(B482,'Start here'!$B$16:$B$20,0)),"Check vehicle"))</f>
        <v/>
      </c>
      <c r="I482" s="25" t="str">
        <f aca="false">IF(OR(F482="",H482&lt;&gt;"Car or van"),"",SUMIFS($F$6:F482,$H$6:H482,"Car or van"))</f>
        <v/>
      </c>
      <c r="J482" s="24" t="str">
        <f aca="false">IF(F482="","",IF(H482="Car or van",IF(O482=0,TEXT(INDEX('Notes and sources'!$C$6:$D$6,1,'Start here'!$C$11)*100,"0")&amp;"p",IF(N482=0,TEXT(INDEX('Notes and sources'!$C$7:$D$7,1,'Start here'!$C$11)*100,"0")&amp;"p",TEXT(INDEX('Notes and sources'!$C$6:$D$6,1,'Start here'!$C$11)*100,"0")&amp;"p/"&amp;TEXT(INDEX('Notes and sources'!$C$7:$D$7,1,'Start here'!$C$11)*100,"0")&amp;"p")),IF(H482="Motorcycle",TEXT(INDEX('Notes and sources'!$C$8:$D$8,1,'Start here'!$C$11)*100,"0")&amp;"p",IF(H482="Bicycle",TEXT(INDEX('Notes and sources'!$C$9:$D$9,1,'Start here'!$C$11)*100,"0")&amp;"p",""))))</f>
        <v/>
      </c>
      <c r="K482" s="26" t="str">
        <f aca="false">IF(F482="","",ROUND(IF(H482="Car or van",N482*INDEX('Notes and sources'!$C$6:$D$6,1,'Start here'!$C$11)+O482*INDEX('Notes and sources'!$C$7:$D$7,1,'Start here'!$C$11)+N(G482)*N(F482)*INDEX('Notes and sources'!$C$10:$D$10,1,'Start here'!$C$11),IF(H482="Motorcycle",N(F482)*INDEX('Notes and sources'!$C$8:$D$8,1,'Start here'!$C$11),IF(H482="Bicycle",N(F482)*INDEX('Notes and sources'!$C$9:$D$9,1,'Start here'!$C$11),0))),2))</f>
        <v/>
      </c>
      <c r="L482" s="27"/>
      <c r="N482" s="2" t="n">
        <f aca="false">IF(I482="",0,MAX(0,MIN(N(F482),INDEX('Notes and sources'!$C$12:$D$12,1,'Start here'!$C$11)-(I482-N(F482)))))</f>
        <v>0</v>
      </c>
      <c r="O482" s="2" t="n">
        <f aca="false">IF(I482="",0,N(F482)-N482)</f>
        <v>0</v>
      </c>
      <c r="P482" s="2" t="str">
        <f aca="false">IF(A482="","",IF(AND(MONTH(A482)=4,DAY(A482)&lt;6),13,MOD(MONTH(A482)-4,12)+1))</f>
        <v/>
      </c>
    </row>
    <row r="483" customFormat="false" ht="15" hidden="false" customHeight="false" outlineLevel="0" collapsed="false">
      <c r="A483" s="21"/>
      <c r="B483" s="6"/>
      <c r="C483" s="6"/>
      <c r="D483" s="6"/>
      <c r="E483" s="6"/>
      <c r="F483" s="22"/>
      <c r="G483" s="23"/>
      <c r="H483" s="24" t="str">
        <f aca="false">IF(B483="","",IFERROR(INDEX('Start here'!$C$16:$C$20,MATCH(B483,'Start here'!$B$16:$B$20,0)),"Check vehicle"))</f>
        <v/>
      </c>
      <c r="I483" s="25" t="str">
        <f aca="false">IF(OR(F483="",H483&lt;&gt;"Car or van"),"",SUMIFS($F$6:F483,$H$6:H483,"Car or van"))</f>
        <v/>
      </c>
      <c r="J483" s="24" t="str">
        <f aca="false">IF(F483="","",IF(H483="Car or van",IF(O483=0,TEXT(INDEX('Notes and sources'!$C$6:$D$6,1,'Start here'!$C$11)*100,"0")&amp;"p",IF(N483=0,TEXT(INDEX('Notes and sources'!$C$7:$D$7,1,'Start here'!$C$11)*100,"0")&amp;"p",TEXT(INDEX('Notes and sources'!$C$6:$D$6,1,'Start here'!$C$11)*100,"0")&amp;"p/"&amp;TEXT(INDEX('Notes and sources'!$C$7:$D$7,1,'Start here'!$C$11)*100,"0")&amp;"p")),IF(H483="Motorcycle",TEXT(INDEX('Notes and sources'!$C$8:$D$8,1,'Start here'!$C$11)*100,"0")&amp;"p",IF(H483="Bicycle",TEXT(INDEX('Notes and sources'!$C$9:$D$9,1,'Start here'!$C$11)*100,"0")&amp;"p",""))))</f>
        <v/>
      </c>
      <c r="K483" s="26" t="str">
        <f aca="false">IF(F483="","",ROUND(IF(H483="Car or van",N483*INDEX('Notes and sources'!$C$6:$D$6,1,'Start here'!$C$11)+O483*INDEX('Notes and sources'!$C$7:$D$7,1,'Start here'!$C$11)+N(G483)*N(F483)*INDEX('Notes and sources'!$C$10:$D$10,1,'Start here'!$C$11),IF(H483="Motorcycle",N(F483)*INDEX('Notes and sources'!$C$8:$D$8,1,'Start here'!$C$11),IF(H483="Bicycle",N(F483)*INDEX('Notes and sources'!$C$9:$D$9,1,'Start here'!$C$11),0))),2))</f>
        <v/>
      </c>
      <c r="L483" s="27"/>
      <c r="N483" s="2" t="n">
        <f aca="false">IF(I483="",0,MAX(0,MIN(N(F483),INDEX('Notes and sources'!$C$12:$D$12,1,'Start here'!$C$11)-(I483-N(F483)))))</f>
        <v>0</v>
      </c>
      <c r="O483" s="2" t="n">
        <f aca="false">IF(I483="",0,N(F483)-N483)</f>
        <v>0</v>
      </c>
      <c r="P483" s="2" t="str">
        <f aca="false">IF(A483="","",IF(AND(MONTH(A483)=4,DAY(A483)&lt;6),13,MOD(MONTH(A483)-4,12)+1))</f>
        <v/>
      </c>
    </row>
    <row r="484" customFormat="false" ht="15" hidden="false" customHeight="false" outlineLevel="0" collapsed="false">
      <c r="A484" s="21"/>
      <c r="B484" s="6"/>
      <c r="C484" s="6"/>
      <c r="D484" s="6"/>
      <c r="E484" s="6"/>
      <c r="F484" s="22"/>
      <c r="G484" s="23"/>
      <c r="H484" s="24" t="str">
        <f aca="false">IF(B484="","",IFERROR(INDEX('Start here'!$C$16:$C$20,MATCH(B484,'Start here'!$B$16:$B$20,0)),"Check vehicle"))</f>
        <v/>
      </c>
      <c r="I484" s="25" t="str">
        <f aca="false">IF(OR(F484="",H484&lt;&gt;"Car or van"),"",SUMIFS($F$6:F484,$H$6:H484,"Car or van"))</f>
        <v/>
      </c>
      <c r="J484" s="24" t="str">
        <f aca="false">IF(F484="","",IF(H484="Car or van",IF(O484=0,TEXT(INDEX('Notes and sources'!$C$6:$D$6,1,'Start here'!$C$11)*100,"0")&amp;"p",IF(N484=0,TEXT(INDEX('Notes and sources'!$C$7:$D$7,1,'Start here'!$C$11)*100,"0")&amp;"p",TEXT(INDEX('Notes and sources'!$C$6:$D$6,1,'Start here'!$C$11)*100,"0")&amp;"p/"&amp;TEXT(INDEX('Notes and sources'!$C$7:$D$7,1,'Start here'!$C$11)*100,"0")&amp;"p")),IF(H484="Motorcycle",TEXT(INDEX('Notes and sources'!$C$8:$D$8,1,'Start here'!$C$11)*100,"0")&amp;"p",IF(H484="Bicycle",TEXT(INDEX('Notes and sources'!$C$9:$D$9,1,'Start here'!$C$11)*100,"0")&amp;"p",""))))</f>
        <v/>
      </c>
      <c r="K484" s="26" t="str">
        <f aca="false">IF(F484="","",ROUND(IF(H484="Car or van",N484*INDEX('Notes and sources'!$C$6:$D$6,1,'Start here'!$C$11)+O484*INDEX('Notes and sources'!$C$7:$D$7,1,'Start here'!$C$11)+N(G484)*N(F484)*INDEX('Notes and sources'!$C$10:$D$10,1,'Start here'!$C$11),IF(H484="Motorcycle",N(F484)*INDEX('Notes and sources'!$C$8:$D$8,1,'Start here'!$C$11),IF(H484="Bicycle",N(F484)*INDEX('Notes and sources'!$C$9:$D$9,1,'Start here'!$C$11),0))),2))</f>
        <v/>
      </c>
      <c r="L484" s="27"/>
      <c r="N484" s="2" t="n">
        <f aca="false">IF(I484="",0,MAX(0,MIN(N(F484),INDEX('Notes and sources'!$C$12:$D$12,1,'Start here'!$C$11)-(I484-N(F484)))))</f>
        <v>0</v>
      </c>
      <c r="O484" s="2" t="n">
        <f aca="false">IF(I484="",0,N(F484)-N484)</f>
        <v>0</v>
      </c>
      <c r="P484" s="2" t="str">
        <f aca="false">IF(A484="","",IF(AND(MONTH(A484)=4,DAY(A484)&lt;6),13,MOD(MONTH(A484)-4,12)+1))</f>
        <v/>
      </c>
    </row>
    <row r="485" customFormat="false" ht="15" hidden="false" customHeight="false" outlineLevel="0" collapsed="false">
      <c r="A485" s="21"/>
      <c r="B485" s="6"/>
      <c r="C485" s="6"/>
      <c r="D485" s="6"/>
      <c r="E485" s="6"/>
      <c r="F485" s="22"/>
      <c r="G485" s="23"/>
      <c r="H485" s="24" t="str">
        <f aca="false">IF(B485="","",IFERROR(INDEX('Start here'!$C$16:$C$20,MATCH(B485,'Start here'!$B$16:$B$20,0)),"Check vehicle"))</f>
        <v/>
      </c>
      <c r="I485" s="25" t="str">
        <f aca="false">IF(OR(F485="",H485&lt;&gt;"Car or van"),"",SUMIFS($F$6:F485,$H$6:H485,"Car or van"))</f>
        <v/>
      </c>
      <c r="J485" s="24" t="str">
        <f aca="false">IF(F485="","",IF(H485="Car or van",IF(O485=0,TEXT(INDEX('Notes and sources'!$C$6:$D$6,1,'Start here'!$C$11)*100,"0")&amp;"p",IF(N485=0,TEXT(INDEX('Notes and sources'!$C$7:$D$7,1,'Start here'!$C$11)*100,"0")&amp;"p",TEXT(INDEX('Notes and sources'!$C$6:$D$6,1,'Start here'!$C$11)*100,"0")&amp;"p/"&amp;TEXT(INDEX('Notes and sources'!$C$7:$D$7,1,'Start here'!$C$11)*100,"0")&amp;"p")),IF(H485="Motorcycle",TEXT(INDEX('Notes and sources'!$C$8:$D$8,1,'Start here'!$C$11)*100,"0")&amp;"p",IF(H485="Bicycle",TEXT(INDEX('Notes and sources'!$C$9:$D$9,1,'Start here'!$C$11)*100,"0")&amp;"p",""))))</f>
        <v/>
      </c>
      <c r="K485" s="26" t="str">
        <f aca="false">IF(F485="","",ROUND(IF(H485="Car or van",N485*INDEX('Notes and sources'!$C$6:$D$6,1,'Start here'!$C$11)+O485*INDEX('Notes and sources'!$C$7:$D$7,1,'Start here'!$C$11)+N(G485)*N(F485)*INDEX('Notes and sources'!$C$10:$D$10,1,'Start here'!$C$11),IF(H485="Motorcycle",N(F485)*INDEX('Notes and sources'!$C$8:$D$8,1,'Start here'!$C$11),IF(H485="Bicycle",N(F485)*INDEX('Notes and sources'!$C$9:$D$9,1,'Start here'!$C$11),0))),2))</f>
        <v/>
      </c>
      <c r="L485" s="27"/>
      <c r="N485" s="2" t="n">
        <f aca="false">IF(I485="",0,MAX(0,MIN(N(F485),INDEX('Notes and sources'!$C$12:$D$12,1,'Start here'!$C$11)-(I485-N(F485)))))</f>
        <v>0</v>
      </c>
      <c r="O485" s="2" t="n">
        <f aca="false">IF(I485="",0,N(F485)-N485)</f>
        <v>0</v>
      </c>
      <c r="P485" s="2" t="str">
        <f aca="false">IF(A485="","",IF(AND(MONTH(A485)=4,DAY(A485)&lt;6),13,MOD(MONTH(A485)-4,12)+1))</f>
        <v/>
      </c>
    </row>
    <row r="486" customFormat="false" ht="15" hidden="false" customHeight="false" outlineLevel="0" collapsed="false">
      <c r="A486" s="21"/>
      <c r="B486" s="6"/>
      <c r="C486" s="6"/>
      <c r="D486" s="6"/>
      <c r="E486" s="6"/>
      <c r="F486" s="22"/>
      <c r="G486" s="23"/>
      <c r="H486" s="24" t="str">
        <f aca="false">IF(B486="","",IFERROR(INDEX('Start here'!$C$16:$C$20,MATCH(B486,'Start here'!$B$16:$B$20,0)),"Check vehicle"))</f>
        <v/>
      </c>
      <c r="I486" s="25" t="str">
        <f aca="false">IF(OR(F486="",H486&lt;&gt;"Car or van"),"",SUMIFS($F$6:F486,$H$6:H486,"Car or van"))</f>
        <v/>
      </c>
      <c r="J486" s="24" t="str">
        <f aca="false">IF(F486="","",IF(H486="Car or van",IF(O486=0,TEXT(INDEX('Notes and sources'!$C$6:$D$6,1,'Start here'!$C$11)*100,"0")&amp;"p",IF(N486=0,TEXT(INDEX('Notes and sources'!$C$7:$D$7,1,'Start here'!$C$11)*100,"0")&amp;"p",TEXT(INDEX('Notes and sources'!$C$6:$D$6,1,'Start here'!$C$11)*100,"0")&amp;"p/"&amp;TEXT(INDEX('Notes and sources'!$C$7:$D$7,1,'Start here'!$C$11)*100,"0")&amp;"p")),IF(H486="Motorcycle",TEXT(INDEX('Notes and sources'!$C$8:$D$8,1,'Start here'!$C$11)*100,"0")&amp;"p",IF(H486="Bicycle",TEXT(INDEX('Notes and sources'!$C$9:$D$9,1,'Start here'!$C$11)*100,"0")&amp;"p",""))))</f>
        <v/>
      </c>
      <c r="K486" s="26" t="str">
        <f aca="false">IF(F486="","",ROUND(IF(H486="Car or van",N486*INDEX('Notes and sources'!$C$6:$D$6,1,'Start here'!$C$11)+O486*INDEX('Notes and sources'!$C$7:$D$7,1,'Start here'!$C$11)+N(G486)*N(F486)*INDEX('Notes and sources'!$C$10:$D$10,1,'Start here'!$C$11),IF(H486="Motorcycle",N(F486)*INDEX('Notes and sources'!$C$8:$D$8,1,'Start here'!$C$11),IF(H486="Bicycle",N(F486)*INDEX('Notes and sources'!$C$9:$D$9,1,'Start here'!$C$11),0))),2))</f>
        <v/>
      </c>
      <c r="L486" s="27"/>
      <c r="N486" s="2" t="n">
        <f aca="false">IF(I486="",0,MAX(0,MIN(N(F486),INDEX('Notes and sources'!$C$12:$D$12,1,'Start here'!$C$11)-(I486-N(F486)))))</f>
        <v>0</v>
      </c>
      <c r="O486" s="2" t="n">
        <f aca="false">IF(I486="",0,N(F486)-N486)</f>
        <v>0</v>
      </c>
      <c r="P486" s="2" t="str">
        <f aca="false">IF(A486="","",IF(AND(MONTH(A486)=4,DAY(A486)&lt;6),13,MOD(MONTH(A486)-4,12)+1))</f>
        <v/>
      </c>
    </row>
    <row r="487" customFormat="false" ht="15" hidden="false" customHeight="false" outlineLevel="0" collapsed="false">
      <c r="A487" s="21"/>
      <c r="B487" s="6"/>
      <c r="C487" s="6"/>
      <c r="D487" s="6"/>
      <c r="E487" s="6"/>
      <c r="F487" s="22"/>
      <c r="G487" s="23"/>
      <c r="H487" s="24" t="str">
        <f aca="false">IF(B487="","",IFERROR(INDEX('Start here'!$C$16:$C$20,MATCH(B487,'Start here'!$B$16:$B$20,0)),"Check vehicle"))</f>
        <v/>
      </c>
      <c r="I487" s="25" t="str">
        <f aca="false">IF(OR(F487="",H487&lt;&gt;"Car or van"),"",SUMIFS($F$6:F487,$H$6:H487,"Car or van"))</f>
        <v/>
      </c>
      <c r="J487" s="24" t="str">
        <f aca="false">IF(F487="","",IF(H487="Car or van",IF(O487=0,TEXT(INDEX('Notes and sources'!$C$6:$D$6,1,'Start here'!$C$11)*100,"0")&amp;"p",IF(N487=0,TEXT(INDEX('Notes and sources'!$C$7:$D$7,1,'Start here'!$C$11)*100,"0")&amp;"p",TEXT(INDEX('Notes and sources'!$C$6:$D$6,1,'Start here'!$C$11)*100,"0")&amp;"p/"&amp;TEXT(INDEX('Notes and sources'!$C$7:$D$7,1,'Start here'!$C$11)*100,"0")&amp;"p")),IF(H487="Motorcycle",TEXT(INDEX('Notes and sources'!$C$8:$D$8,1,'Start here'!$C$11)*100,"0")&amp;"p",IF(H487="Bicycle",TEXT(INDEX('Notes and sources'!$C$9:$D$9,1,'Start here'!$C$11)*100,"0")&amp;"p",""))))</f>
        <v/>
      </c>
      <c r="K487" s="26" t="str">
        <f aca="false">IF(F487="","",ROUND(IF(H487="Car or van",N487*INDEX('Notes and sources'!$C$6:$D$6,1,'Start here'!$C$11)+O487*INDEX('Notes and sources'!$C$7:$D$7,1,'Start here'!$C$11)+N(G487)*N(F487)*INDEX('Notes and sources'!$C$10:$D$10,1,'Start here'!$C$11),IF(H487="Motorcycle",N(F487)*INDEX('Notes and sources'!$C$8:$D$8,1,'Start here'!$C$11),IF(H487="Bicycle",N(F487)*INDEX('Notes and sources'!$C$9:$D$9,1,'Start here'!$C$11),0))),2))</f>
        <v/>
      </c>
      <c r="L487" s="27"/>
      <c r="N487" s="2" t="n">
        <f aca="false">IF(I487="",0,MAX(0,MIN(N(F487),INDEX('Notes and sources'!$C$12:$D$12,1,'Start here'!$C$11)-(I487-N(F487)))))</f>
        <v>0</v>
      </c>
      <c r="O487" s="2" t="n">
        <f aca="false">IF(I487="",0,N(F487)-N487)</f>
        <v>0</v>
      </c>
      <c r="P487" s="2" t="str">
        <f aca="false">IF(A487="","",IF(AND(MONTH(A487)=4,DAY(A487)&lt;6),13,MOD(MONTH(A487)-4,12)+1))</f>
        <v/>
      </c>
    </row>
    <row r="488" customFormat="false" ht="15" hidden="false" customHeight="false" outlineLevel="0" collapsed="false">
      <c r="A488" s="21"/>
      <c r="B488" s="6"/>
      <c r="C488" s="6"/>
      <c r="D488" s="6"/>
      <c r="E488" s="6"/>
      <c r="F488" s="22"/>
      <c r="G488" s="23"/>
      <c r="H488" s="24" t="str">
        <f aca="false">IF(B488="","",IFERROR(INDEX('Start here'!$C$16:$C$20,MATCH(B488,'Start here'!$B$16:$B$20,0)),"Check vehicle"))</f>
        <v/>
      </c>
      <c r="I488" s="25" t="str">
        <f aca="false">IF(OR(F488="",H488&lt;&gt;"Car or van"),"",SUMIFS($F$6:F488,$H$6:H488,"Car or van"))</f>
        <v/>
      </c>
      <c r="J488" s="24" t="str">
        <f aca="false">IF(F488="","",IF(H488="Car or van",IF(O488=0,TEXT(INDEX('Notes and sources'!$C$6:$D$6,1,'Start here'!$C$11)*100,"0")&amp;"p",IF(N488=0,TEXT(INDEX('Notes and sources'!$C$7:$D$7,1,'Start here'!$C$11)*100,"0")&amp;"p",TEXT(INDEX('Notes and sources'!$C$6:$D$6,1,'Start here'!$C$11)*100,"0")&amp;"p/"&amp;TEXT(INDEX('Notes and sources'!$C$7:$D$7,1,'Start here'!$C$11)*100,"0")&amp;"p")),IF(H488="Motorcycle",TEXT(INDEX('Notes and sources'!$C$8:$D$8,1,'Start here'!$C$11)*100,"0")&amp;"p",IF(H488="Bicycle",TEXT(INDEX('Notes and sources'!$C$9:$D$9,1,'Start here'!$C$11)*100,"0")&amp;"p",""))))</f>
        <v/>
      </c>
      <c r="K488" s="26" t="str">
        <f aca="false">IF(F488="","",ROUND(IF(H488="Car or van",N488*INDEX('Notes and sources'!$C$6:$D$6,1,'Start here'!$C$11)+O488*INDEX('Notes and sources'!$C$7:$D$7,1,'Start here'!$C$11)+N(G488)*N(F488)*INDEX('Notes and sources'!$C$10:$D$10,1,'Start here'!$C$11),IF(H488="Motorcycle",N(F488)*INDEX('Notes and sources'!$C$8:$D$8,1,'Start here'!$C$11),IF(H488="Bicycle",N(F488)*INDEX('Notes and sources'!$C$9:$D$9,1,'Start here'!$C$11),0))),2))</f>
        <v/>
      </c>
      <c r="L488" s="27"/>
      <c r="N488" s="2" t="n">
        <f aca="false">IF(I488="",0,MAX(0,MIN(N(F488),INDEX('Notes and sources'!$C$12:$D$12,1,'Start here'!$C$11)-(I488-N(F488)))))</f>
        <v>0</v>
      </c>
      <c r="O488" s="2" t="n">
        <f aca="false">IF(I488="",0,N(F488)-N488)</f>
        <v>0</v>
      </c>
      <c r="P488" s="2" t="str">
        <f aca="false">IF(A488="","",IF(AND(MONTH(A488)=4,DAY(A488)&lt;6),13,MOD(MONTH(A488)-4,12)+1))</f>
        <v/>
      </c>
    </row>
    <row r="489" customFormat="false" ht="15" hidden="false" customHeight="false" outlineLevel="0" collapsed="false">
      <c r="A489" s="21"/>
      <c r="B489" s="6"/>
      <c r="C489" s="6"/>
      <c r="D489" s="6"/>
      <c r="E489" s="6"/>
      <c r="F489" s="22"/>
      <c r="G489" s="23"/>
      <c r="H489" s="24" t="str">
        <f aca="false">IF(B489="","",IFERROR(INDEX('Start here'!$C$16:$C$20,MATCH(B489,'Start here'!$B$16:$B$20,0)),"Check vehicle"))</f>
        <v/>
      </c>
      <c r="I489" s="25" t="str">
        <f aca="false">IF(OR(F489="",H489&lt;&gt;"Car or van"),"",SUMIFS($F$6:F489,$H$6:H489,"Car or van"))</f>
        <v/>
      </c>
      <c r="J489" s="24" t="str">
        <f aca="false">IF(F489="","",IF(H489="Car or van",IF(O489=0,TEXT(INDEX('Notes and sources'!$C$6:$D$6,1,'Start here'!$C$11)*100,"0")&amp;"p",IF(N489=0,TEXT(INDEX('Notes and sources'!$C$7:$D$7,1,'Start here'!$C$11)*100,"0")&amp;"p",TEXT(INDEX('Notes and sources'!$C$6:$D$6,1,'Start here'!$C$11)*100,"0")&amp;"p/"&amp;TEXT(INDEX('Notes and sources'!$C$7:$D$7,1,'Start here'!$C$11)*100,"0")&amp;"p")),IF(H489="Motorcycle",TEXT(INDEX('Notes and sources'!$C$8:$D$8,1,'Start here'!$C$11)*100,"0")&amp;"p",IF(H489="Bicycle",TEXT(INDEX('Notes and sources'!$C$9:$D$9,1,'Start here'!$C$11)*100,"0")&amp;"p",""))))</f>
        <v/>
      </c>
      <c r="K489" s="26" t="str">
        <f aca="false">IF(F489="","",ROUND(IF(H489="Car or van",N489*INDEX('Notes and sources'!$C$6:$D$6,1,'Start here'!$C$11)+O489*INDEX('Notes and sources'!$C$7:$D$7,1,'Start here'!$C$11)+N(G489)*N(F489)*INDEX('Notes and sources'!$C$10:$D$10,1,'Start here'!$C$11),IF(H489="Motorcycle",N(F489)*INDEX('Notes and sources'!$C$8:$D$8,1,'Start here'!$C$11),IF(H489="Bicycle",N(F489)*INDEX('Notes and sources'!$C$9:$D$9,1,'Start here'!$C$11),0))),2))</f>
        <v/>
      </c>
      <c r="L489" s="27"/>
      <c r="N489" s="2" t="n">
        <f aca="false">IF(I489="",0,MAX(0,MIN(N(F489),INDEX('Notes and sources'!$C$12:$D$12,1,'Start here'!$C$11)-(I489-N(F489)))))</f>
        <v>0</v>
      </c>
      <c r="O489" s="2" t="n">
        <f aca="false">IF(I489="",0,N(F489)-N489)</f>
        <v>0</v>
      </c>
      <c r="P489" s="2" t="str">
        <f aca="false">IF(A489="","",IF(AND(MONTH(A489)=4,DAY(A489)&lt;6),13,MOD(MONTH(A489)-4,12)+1))</f>
        <v/>
      </c>
    </row>
    <row r="490" customFormat="false" ht="15" hidden="false" customHeight="false" outlineLevel="0" collapsed="false">
      <c r="A490" s="21"/>
      <c r="B490" s="6"/>
      <c r="C490" s="6"/>
      <c r="D490" s="6"/>
      <c r="E490" s="6"/>
      <c r="F490" s="22"/>
      <c r="G490" s="23"/>
      <c r="H490" s="24" t="str">
        <f aca="false">IF(B490="","",IFERROR(INDEX('Start here'!$C$16:$C$20,MATCH(B490,'Start here'!$B$16:$B$20,0)),"Check vehicle"))</f>
        <v/>
      </c>
      <c r="I490" s="25" t="str">
        <f aca="false">IF(OR(F490="",H490&lt;&gt;"Car or van"),"",SUMIFS($F$6:F490,$H$6:H490,"Car or van"))</f>
        <v/>
      </c>
      <c r="J490" s="24" t="str">
        <f aca="false">IF(F490="","",IF(H490="Car or van",IF(O490=0,TEXT(INDEX('Notes and sources'!$C$6:$D$6,1,'Start here'!$C$11)*100,"0")&amp;"p",IF(N490=0,TEXT(INDEX('Notes and sources'!$C$7:$D$7,1,'Start here'!$C$11)*100,"0")&amp;"p",TEXT(INDEX('Notes and sources'!$C$6:$D$6,1,'Start here'!$C$11)*100,"0")&amp;"p/"&amp;TEXT(INDEX('Notes and sources'!$C$7:$D$7,1,'Start here'!$C$11)*100,"0")&amp;"p")),IF(H490="Motorcycle",TEXT(INDEX('Notes and sources'!$C$8:$D$8,1,'Start here'!$C$11)*100,"0")&amp;"p",IF(H490="Bicycle",TEXT(INDEX('Notes and sources'!$C$9:$D$9,1,'Start here'!$C$11)*100,"0")&amp;"p",""))))</f>
        <v/>
      </c>
      <c r="K490" s="26" t="str">
        <f aca="false">IF(F490="","",ROUND(IF(H490="Car or van",N490*INDEX('Notes and sources'!$C$6:$D$6,1,'Start here'!$C$11)+O490*INDEX('Notes and sources'!$C$7:$D$7,1,'Start here'!$C$11)+N(G490)*N(F490)*INDEX('Notes and sources'!$C$10:$D$10,1,'Start here'!$C$11),IF(H490="Motorcycle",N(F490)*INDEX('Notes and sources'!$C$8:$D$8,1,'Start here'!$C$11),IF(H490="Bicycle",N(F490)*INDEX('Notes and sources'!$C$9:$D$9,1,'Start here'!$C$11),0))),2))</f>
        <v/>
      </c>
      <c r="L490" s="27"/>
      <c r="N490" s="2" t="n">
        <f aca="false">IF(I490="",0,MAX(0,MIN(N(F490),INDEX('Notes and sources'!$C$12:$D$12,1,'Start here'!$C$11)-(I490-N(F490)))))</f>
        <v>0</v>
      </c>
      <c r="O490" s="2" t="n">
        <f aca="false">IF(I490="",0,N(F490)-N490)</f>
        <v>0</v>
      </c>
      <c r="P490" s="2" t="str">
        <f aca="false">IF(A490="","",IF(AND(MONTH(A490)=4,DAY(A490)&lt;6),13,MOD(MONTH(A490)-4,12)+1))</f>
        <v/>
      </c>
    </row>
    <row r="491" customFormat="false" ht="15" hidden="false" customHeight="false" outlineLevel="0" collapsed="false">
      <c r="A491" s="21"/>
      <c r="B491" s="6"/>
      <c r="C491" s="6"/>
      <c r="D491" s="6"/>
      <c r="E491" s="6"/>
      <c r="F491" s="22"/>
      <c r="G491" s="23"/>
      <c r="H491" s="24" t="str">
        <f aca="false">IF(B491="","",IFERROR(INDEX('Start here'!$C$16:$C$20,MATCH(B491,'Start here'!$B$16:$B$20,0)),"Check vehicle"))</f>
        <v/>
      </c>
      <c r="I491" s="25" t="str">
        <f aca="false">IF(OR(F491="",H491&lt;&gt;"Car or van"),"",SUMIFS($F$6:F491,$H$6:H491,"Car or van"))</f>
        <v/>
      </c>
      <c r="J491" s="24" t="str">
        <f aca="false">IF(F491="","",IF(H491="Car or van",IF(O491=0,TEXT(INDEX('Notes and sources'!$C$6:$D$6,1,'Start here'!$C$11)*100,"0")&amp;"p",IF(N491=0,TEXT(INDEX('Notes and sources'!$C$7:$D$7,1,'Start here'!$C$11)*100,"0")&amp;"p",TEXT(INDEX('Notes and sources'!$C$6:$D$6,1,'Start here'!$C$11)*100,"0")&amp;"p/"&amp;TEXT(INDEX('Notes and sources'!$C$7:$D$7,1,'Start here'!$C$11)*100,"0")&amp;"p")),IF(H491="Motorcycle",TEXT(INDEX('Notes and sources'!$C$8:$D$8,1,'Start here'!$C$11)*100,"0")&amp;"p",IF(H491="Bicycle",TEXT(INDEX('Notes and sources'!$C$9:$D$9,1,'Start here'!$C$11)*100,"0")&amp;"p",""))))</f>
        <v/>
      </c>
      <c r="K491" s="26" t="str">
        <f aca="false">IF(F491="","",ROUND(IF(H491="Car or van",N491*INDEX('Notes and sources'!$C$6:$D$6,1,'Start here'!$C$11)+O491*INDEX('Notes and sources'!$C$7:$D$7,1,'Start here'!$C$11)+N(G491)*N(F491)*INDEX('Notes and sources'!$C$10:$D$10,1,'Start here'!$C$11),IF(H491="Motorcycle",N(F491)*INDEX('Notes and sources'!$C$8:$D$8,1,'Start here'!$C$11),IF(H491="Bicycle",N(F491)*INDEX('Notes and sources'!$C$9:$D$9,1,'Start here'!$C$11),0))),2))</f>
        <v/>
      </c>
      <c r="L491" s="27"/>
      <c r="N491" s="2" t="n">
        <f aca="false">IF(I491="",0,MAX(0,MIN(N(F491),INDEX('Notes and sources'!$C$12:$D$12,1,'Start here'!$C$11)-(I491-N(F491)))))</f>
        <v>0</v>
      </c>
      <c r="O491" s="2" t="n">
        <f aca="false">IF(I491="",0,N(F491)-N491)</f>
        <v>0</v>
      </c>
      <c r="P491" s="2" t="str">
        <f aca="false">IF(A491="","",IF(AND(MONTH(A491)=4,DAY(A491)&lt;6),13,MOD(MONTH(A491)-4,12)+1))</f>
        <v/>
      </c>
    </row>
    <row r="492" customFormat="false" ht="15" hidden="false" customHeight="false" outlineLevel="0" collapsed="false">
      <c r="A492" s="21"/>
      <c r="B492" s="6"/>
      <c r="C492" s="6"/>
      <c r="D492" s="6"/>
      <c r="E492" s="6"/>
      <c r="F492" s="22"/>
      <c r="G492" s="23"/>
      <c r="H492" s="24" t="str">
        <f aca="false">IF(B492="","",IFERROR(INDEX('Start here'!$C$16:$C$20,MATCH(B492,'Start here'!$B$16:$B$20,0)),"Check vehicle"))</f>
        <v/>
      </c>
      <c r="I492" s="25" t="str">
        <f aca="false">IF(OR(F492="",H492&lt;&gt;"Car or van"),"",SUMIFS($F$6:F492,$H$6:H492,"Car or van"))</f>
        <v/>
      </c>
      <c r="J492" s="24" t="str">
        <f aca="false">IF(F492="","",IF(H492="Car or van",IF(O492=0,TEXT(INDEX('Notes and sources'!$C$6:$D$6,1,'Start here'!$C$11)*100,"0")&amp;"p",IF(N492=0,TEXT(INDEX('Notes and sources'!$C$7:$D$7,1,'Start here'!$C$11)*100,"0")&amp;"p",TEXT(INDEX('Notes and sources'!$C$6:$D$6,1,'Start here'!$C$11)*100,"0")&amp;"p/"&amp;TEXT(INDEX('Notes and sources'!$C$7:$D$7,1,'Start here'!$C$11)*100,"0")&amp;"p")),IF(H492="Motorcycle",TEXT(INDEX('Notes and sources'!$C$8:$D$8,1,'Start here'!$C$11)*100,"0")&amp;"p",IF(H492="Bicycle",TEXT(INDEX('Notes and sources'!$C$9:$D$9,1,'Start here'!$C$11)*100,"0")&amp;"p",""))))</f>
        <v/>
      </c>
      <c r="K492" s="26" t="str">
        <f aca="false">IF(F492="","",ROUND(IF(H492="Car or van",N492*INDEX('Notes and sources'!$C$6:$D$6,1,'Start here'!$C$11)+O492*INDEX('Notes and sources'!$C$7:$D$7,1,'Start here'!$C$11)+N(G492)*N(F492)*INDEX('Notes and sources'!$C$10:$D$10,1,'Start here'!$C$11),IF(H492="Motorcycle",N(F492)*INDEX('Notes and sources'!$C$8:$D$8,1,'Start here'!$C$11),IF(H492="Bicycle",N(F492)*INDEX('Notes and sources'!$C$9:$D$9,1,'Start here'!$C$11),0))),2))</f>
        <v/>
      </c>
      <c r="L492" s="27"/>
      <c r="N492" s="2" t="n">
        <f aca="false">IF(I492="",0,MAX(0,MIN(N(F492),INDEX('Notes and sources'!$C$12:$D$12,1,'Start here'!$C$11)-(I492-N(F492)))))</f>
        <v>0</v>
      </c>
      <c r="O492" s="2" t="n">
        <f aca="false">IF(I492="",0,N(F492)-N492)</f>
        <v>0</v>
      </c>
      <c r="P492" s="2" t="str">
        <f aca="false">IF(A492="","",IF(AND(MONTH(A492)=4,DAY(A492)&lt;6),13,MOD(MONTH(A492)-4,12)+1))</f>
        <v/>
      </c>
    </row>
    <row r="493" customFormat="false" ht="15" hidden="false" customHeight="false" outlineLevel="0" collapsed="false">
      <c r="A493" s="21"/>
      <c r="B493" s="6"/>
      <c r="C493" s="6"/>
      <c r="D493" s="6"/>
      <c r="E493" s="6"/>
      <c r="F493" s="22"/>
      <c r="G493" s="23"/>
      <c r="H493" s="24" t="str">
        <f aca="false">IF(B493="","",IFERROR(INDEX('Start here'!$C$16:$C$20,MATCH(B493,'Start here'!$B$16:$B$20,0)),"Check vehicle"))</f>
        <v/>
      </c>
      <c r="I493" s="25" t="str">
        <f aca="false">IF(OR(F493="",H493&lt;&gt;"Car or van"),"",SUMIFS($F$6:F493,$H$6:H493,"Car or van"))</f>
        <v/>
      </c>
      <c r="J493" s="24" t="str">
        <f aca="false">IF(F493="","",IF(H493="Car or van",IF(O493=0,TEXT(INDEX('Notes and sources'!$C$6:$D$6,1,'Start here'!$C$11)*100,"0")&amp;"p",IF(N493=0,TEXT(INDEX('Notes and sources'!$C$7:$D$7,1,'Start here'!$C$11)*100,"0")&amp;"p",TEXT(INDEX('Notes and sources'!$C$6:$D$6,1,'Start here'!$C$11)*100,"0")&amp;"p/"&amp;TEXT(INDEX('Notes and sources'!$C$7:$D$7,1,'Start here'!$C$11)*100,"0")&amp;"p")),IF(H493="Motorcycle",TEXT(INDEX('Notes and sources'!$C$8:$D$8,1,'Start here'!$C$11)*100,"0")&amp;"p",IF(H493="Bicycle",TEXT(INDEX('Notes and sources'!$C$9:$D$9,1,'Start here'!$C$11)*100,"0")&amp;"p",""))))</f>
        <v/>
      </c>
      <c r="K493" s="26" t="str">
        <f aca="false">IF(F493="","",ROUND(IF(H493="Car or van",N493*INDEX('Notes and sources'!$C$6:$D$6,1,'Start here'!$C$11)+O493*INDEX('Notes and sources'!$C$7:$D$7,1,'Start here'!$C$11)+N(G493)*N(F493)*INDEX('Notes and sources'!$C$10:$D$10,1,'Start here'!$C$11),IF(H493="Motorcycle",N(F493)*INDEX('Notes and sources'!$C$8:$D$8,1,'Start here'!$C$11),IF(H493="Bicycle",N(F493)*INDEX('Notes and sources'!$C$9:$D$9,1,'Start here'!$C$11),0))),2))</f>
        <v/>
      </c>
      <c r="L493" s="27"/>
      <c r="N493" s="2" t="n">
        <f aca="false">IF(I493="",0,MAX(0,MIN(N(F493),INDEX('Notes and sources'!$C$12:$D$12,1,'Start here'!$C$11)-(I493-N(F493)))))</f>
        <v>0</v>
      </c>
      <c r="O493" s="2" t="n">
        <f aca="false">IF(I493="",0,N(F493)-N493)</f>
        <v>0</v>
      </c>
      <c r="P493" s="2" t="str">
        <f aca="false">IF(A493="","",IF(AND(MONTH(A493)=4,DAY(A493)&lt;6),13,MOD(MONTH(A493)-4,12)+1))</f>
        <v/>
      </c>
    </row>
    <row r="494" customFormat="false" ht="15" hidden="false" customHeight="false" outlineLevel="0" collapsed="false">
      <c r="A494" s="21"/>
      <c r="B494" s="6"/>
      <c r="C494" s="6"/>
      <c r="D494" s="6"/>
      <c r="E494" s="6"/>
      <c r="F494" s="22"/>
      <c r="G494" s="23"/>
      <c r="H494" s="24" t="str">
        <f aca="false">IF(B494="","",IFERROR(INDEX('Start here'!$C$16:$C$20,MATCH(B494,'Start here'!$B$16:$B$20,0)),"Check vehicle"))</f>
        <v/>
      </c>
      <c r="I494" s="25" t="str">
        <f aca="false">IF(OR(F494="",H494&lt;&gt;"Car or van"),"",SUMIFS($F$6:F494,$H$6:H494,"Car or van"))</f>
        <v/>
      </c>
      <c r="J494" s="24" t="str">
        <f aca="false">IF(F494="","",IF(H494="Car or van",IF(O494=0,TEXT(INDEX('Notes and sources'!$C$6:$D$6,1,'Start here'!$C$11)*100,"0")&amp;"p",IF(N494=0,TEXT(INDEX('Notes and sources'!$C$7:$D$7,1,'Start here'!$C$11)*100,"0")&amp;"p",TEXT(INDEX('Notes and sources'!$C$6:$D$6,1,'Start here'!$C$11)*100,"0")&amp;"p/"&amp;TEXT(INDEX('Notes and sources'!$C$7:$D$7,1,'Start here'!$C$11)*100,"0")&amp;"p")),IF(H494="Motorcycle",TEXT(INDEX('Notes and sources'!$C$8:$D$8,1,'Start here'!$C$11)*100,"0")&amp;"p",IF(H494="Bicycle",TEXT(INDEX('Notes and sources'!$C$9:$D$9,1,'Start here'!$C$11)*100,"0")&amp;"p",""))))</f>
        <v/>
      </c>
      <c r="K494" s="26" t="str">
        <f aca="false">IF(F494="","",ROUND(IF(H494="Car or van",N494*INDEX('Notes and sources'!$C$6:$D$6,1,'Start here'!$C$11)+O494*INDEX('Notes and sources'!$C$7:$D$7,1,'Start here'!$C$11)+N(G494)*N(F494)*INDEX('Notes and sources'!$C$10:$D$10,1,'Start here'!$C$11),IF(H494="Motorcycle",N(F494)*INDEX('Notes and sources'!$C$8:$D$8,1,'Start here'!$C$11),IF(H494="Bicycle",N(F494)*INDEX('Notes and sources'!$C$9:$D$9,1,'Start here'!$C$11),0))),2))</f>
        <v/>
      </c>
      <c r="L494" s="27"/>
      <c r="N494" s="2" t="n">
        <f aca="false">IF(I494="",0,MAX(0,MIN(N(F494),INDEX('Notes and sources'!$C$12:$D$12,1,'Start here'!$C$11)-(I494-N(F494)))))</f>
        <v>0</v>
      </c>
      <c r="O494" s="2" t="n">
        <f aca="false">IF(I494="",0,N(F494)-N494)</f>
        <v>0</v>
      </c>
      <c r="P494" s="2" t="str">
        <f aca="false">IF(A494="","",IF(AND(MONTH(A494)=4,DAY(A494)&lt;6),13,MOD(MONTH(A494)-4,12)+1))</f>
        <v/>
      </c>
    </row>
    <row r="495" customFormat="false" ht="15" hidden="false" customHeight="false" outlineLevel="0" collapsed="false">
      <c r="A495" s="21"/>
      <c r="B495" s="6"/>
      <c r="C495" s="6"/>
      <c r="D495" s="6"/>
      <c r="E495" s="6"/>
      <c r="F495" s="22"/>
      <c r="G495" s="23"/>
      <c r="H495" s="24" t="str">
        <f aca="false">IF(B495="","",IFERROR(INDEX('Start here'!$C$16:$C$20,MATCH(B495,'Start here'!$B$16:$B$20,0)),"Check vehicle"))</f>
        <v/>
      </c>
      <c r="I495" s="25" t="str">
        <f aca="false">IF(OR(F495="",H495&lt;&gt;"Car or van"),"",SUMIFS($F$6:F495,$H$6:H495,"Car or van"))</f>
        <v/>
      </c>
      <c r="J495" s="24" t="str">
        <f aca="false">IF(F495="","",IF(H495="Car or van",IF(O495=0,TEXT(INDEX('Notes and sources'!$C$6:$D$6,1,'Start here'!$C$11)*100,"0")&amp;"p",IF(N495=0,TEXT(INDEX('Notes and sources'!$C$7:$D$7,1,'Start here'!$C$11)*100,"0")&amp;"p",TEXT(INDEX('Notes and sources'!$C$6:$D$6,1,'Start here'!$C$11)*100,"0")&amp;"p/"&amp;TEXT(INDEX('Notes and sources'!$C$7:$D$7,1,'Start here'!$C$11)*100,"0")&amp;"p")),IF(H495="Motorcycle",TEXT(INDEX('Notes and sources'!$C$8:$D$8,1,'Start here'!$C$11)*100,"0")&amp;"p",IF(H495="Bicycle",TEXT(INDEX('Notes and sources'!$C$9:$D$9,1,'Start here'!$C$11)*100,"0")&amp;"p",""))))</f>
        <v/>
      </c>
      <c r="K495" s="26" t="str">
        <f aca="false">IF(F495="","",ROUND(IF(H495="Car or van",N495*INDEX('Notes and sources'!$C$6:$D$6,1,'Start here'!$C$11)+O495*INDEX('Notes and sources'!$C$7:$D$7,1,'Start here'!$C$11)+N(G495)*N(F495)*INDEX('Notes and sources'!$C$10:$D$10,1,'Start here'!$C$11),IF(H495="Motorcycle",N(F495)*INDEX('Notes and sources'!$C$8:$D$8,1,'Start here'!$C$11),IF(H495="Bicycle",N(F495)*INDEX('Notes and sources'!$C$9:$D$9,1,'Start here'!$C$11),0))),2))</f>
        <v/>
      </c>
      <c r="L495" s="27"/>
      <c r="N495" s="2" t="n">
        <f aca="false">IF(I495="",0,MAX(0,MIN(N(F495),INDEX('Notes and sources'!$C$12:$D$12,1,'Start here'!$C$11)-(I495-N(F495)))))</f>
        <v>0</v>
      </c>
      <c r="O495" s="2" t="n">
        <f aca="false">IF(I495="",0,N(F495)-N495)</f>
        <v>0</v>
      </c>
      <c r="P495" s="2" t="str">
        <f aca="false">IF(A495="","",IF(AND(MONTH(A495)=4,DAY(A495)&lt;6),13,MOD(MONTH(A495)-4,12)+1))</f>
        <v/>
      </c>
    </row>
    <row r="496" customFormat="false" ht="15" hidden="false" customHeight="false" outlineLevel="0" collapsed="false">
      <c r="A496" s="21"/>
      <c r="B496" s="6"/>
      <c r="C496" s="6"/>
      <c r="D496" s="6"/>
      <c r="E496" s="6"/>
      <c r="F496" s="22"/>
      <c r="G496" s="23"/>
      <c r="H496" s="24" t="str">
        <f aca="false">IF(B496="","",IFERROR(INDEX('Start here'!$C$16:$C$20,MATCH(B496,'Start here'!$B$16:$B$20,0)),"Check vehicle"))</f>
        <v/>
      </c>
      <c r="I496" s="25" t="str">
        <f aca="false">IF(OR(F496="",H496&lt;&gt;"Car or van"),"",SUMIFS($F$6:F496,$H$6:H496,"Car or van"))</f>
        <v/>
      </c>
      <c r="J496" s="24" t="str">
        <f aca="false">IF(F496="","",IF(H496="Car or van",IF(O496=0,TEXT(INDEX('Notes and sources'!$C$6:$D$6,1,'Start here'!$C$11)*100,"0")&amp;"p",IF(N496=0,TEXT(INDEX('Notes and sources'!$C$7:$D$7,1,'Start here'!$C$11)*100,"0")&amp;"p",TEXT(INDEX('Notes and sources'!$C$6:$D$6,1,'Start here'!$C$11)*100,"0")&amp;"p/"&amp;TEXT(INDEX('Notes and sources'!$C$7:$D$7,1,'Start here'!$C$11)*100,"0")&amp;"p")),IF(H496="Motorcycle",TEXT(INDEX('Notes and sources'!$C$8:$D$8,1,'Start here'!$C$11)*100,"0")&amp;"p",IF(H496="Bicycle",TEXT(INDEX('Notes and sources'!$C$9:$D$9,1,'Start here'!$C$11)*100,"0")&amp;"p",""))))</f>
        <v/>
      </c>
      <c r="K496" s="26" t="str">
        <f aca="false">IF(F496="","",ROUND(IF(H496="Car or van",N496*INDEX('Notes and sources'!$C$6:$D$6,1,'Start here'!$C$11)+O496*INDEX('Notes and sources'!$C$7:$D$7,1,'Start here'!$C$11)+N(G496)*N(F496)*INDEX('Notes and sources'!$C$10:$D$10,1,'Start here'!$C$11),IF(H496="Motorcycle",N(F496)*INDEX('Notes and sources'!$C$8:$D$8,1,'Start here'!$C$11),IF(H496="Bicycle",N(F496)*INDEX('Notes and sources'!$C$9:$D$9,1,'Start here'!$C$11),0))),2))</f>
        <v/>
      </c>
      <c r="L496" s="27"/>
      <c r="N496" s="2" t="n">
        <f aca="false">IF(I496="",0,MAX(0,MIN(N(F496),INDEX('Notes and sources'!$C$12:$D$12,1,'Start here'!$C$11)-(I496-N(F496)))))</f>
        <v>0</v>
      </c>
      <c r="O496" s="2" t="n">
        <f aca="false">IF(I496="",0,N(F496)-N496)</f>
        <v>0</v>
      </c>
      <c r="P496" s="2" t="str">
        <f aca="false">IF(A496="","",IF(AND(MONTH(A496)=4,DAY(A496)&lt;6),13,MOD(MONTH(A496)-4,12)+1))</f>
        <v/>
      </c>
    </row>
    <row r="497" customFormat="false" ht="15" hidden="false" customHeight="false" outlineLevel="0" collapsed="false">
      <c r="A497" s="21"/>
      <c r="B497" s="6"/>
      <c r="C497" s="6"/>
      <c r="D497" s="6"/>
      <c r="E497" s="6"/>
      <c r="F497" s="22"/>
      <c r="G497" s="23"/>
      <c r="H497" s="24" t="str">
        <f aca="false">IF(B497="","",IFERROR(INDEX('Start here'!$C$16:$C$20,MATCH(B497,'Start here'!$B$16:$B$20,0)),"Check vehicle"))</f>
        <v/>
      </c>
      <c r="I497" s="25" t="str">
        <f aca="false">IF(OR(F497="",H497&lt;&gt;"Car or van"),"",SUMIFS($F$6:F497,$H$6:H497,"Car or van"))</f>
        <v/>
      </c>
      <c r="J497" s="24" t="str">
        <f aca="false">IF(F497="","",IF(H497="Car or van",IF(O497=0,TEXT(INDEX('Notes and sources'!$C$6:$D$6,1,'Start here'!$C$11)*100,"0")&amp;"p",IF(N497=0,TEXT(INDEX('Notes and sources'!$C$7:$D$7,1,'Start here'!$C$11)*100,"0")&amp;"p",TEXT(INDEX('Notes and sources'!$C$6:$D$6,1,'Start here'!$C$11)*100,"0")&amp;"p/"&amp;TEXT(INDEX('Notes and sources'!$C$7:$D$7,1,'Start here'!$C$11)*100,"0")&amp;"p")),IF(H497="Motorcycle",TEXT(INDEX('Notes and sources'!$C$8:$D$8,1,'Start here'!$C$11)*100,"0")&amp;"p",IF(H497="Bicycle",TEXT(INDEX('Notes and sources'!$C$9:$D$9,1,'Start here'!$C$11)*100,"0")&amp;"p",""))))</f>
        <v/>
      </c>
      <c r="K497" s="26" t="str">
        <f aca="false">IF(F497="","",ROUND(IF(H497="Car or van",N497*INDEX('Notes and sources'!$C$6:$D$6,1,'Start here'!$C$11)+O497*INDEX('Notes and sources'!$C$7:$D$7,1,'Start here'!$C$11)+N(G497)*N(F497)*INDEX('Notes and sources'!$C$10:$D$10,1,'Start here'!$C$11),IF(H497="Motorcycle",N(F497)*INDEX('Notes and sources'!$C$8:$D$8,1,'Start here'!$C$11),IF(H497="Bicycle",N(F497)*INDEX('Notes and sources'!$C$9:$D$9,1,'Start here'!$C$11),0))),2))</f>
        <v/>
      </c>
      <c r="L497" s="27"/>
      <c r="N497" s="2" t="n">
        <f aca="false">IF(I497="",0,MAX(0,MIN(N(F497),INDEX('Notes and sources'!$C$12:$D$12,1,'Start here'!$C$11)-(I497-N(F497)))))</f>
        <v>0</v>
      </c>
      <c r="O497" s="2" t="n">
        <f aca="false">IF(I497="",0,N(F497)-N497)</f>
        <v>0</v>
      </c>
      <c r="P497" s="2" t="str">
        <f aca="false">IF(A497="","",IF(AND(MONTH(A497)=4,DAY(A497)&lt;6),13,MOD(MONTH(A497)-4,12)+1))</f>
        <v/>
      </c>
    </row>
    <row r="498" customFormat="false" ht="15" hidden="false" customHeight="false" outlineLevel="0" collapsed="false">
      <c r="A498" s="21"/>
      <c r="B498" s="6"/>
      <c r="C498" s="6"/>
      <c r="D498" s="6"/>
      <c r="E498" s="6"/>
      <c r="F498" s="22"/>
      <c r="G498" s="23"/>
      <c r="H498" s="24" t="str">
        <f aca="false">IF(B498="","",IFERROR(INDEX('Start here'!$C$16:$C$20,MATCH(B498,'Start here'!$B$16:$B$20,0)),"Check vehicle"))</f>
        <v/>
      </c>
      <c r="I498" s="25" t="str">
        <f aca="false">IF(OR(F498="",H498&lt;&gt;"Car or van"),"",SUMIFS($F$6:F498,$H$6:H498,"Car or van"))</f>
        <v/>
      </c>
      <c r="J498" s="24" t="str">
        <f aca="false">IF(F498="","",IF(H498="Car or van",IF(O498=0,TEXT(INDEX('Notes and sources'!$C$6:$D$6,1,'Start here'!$C$11)*100,"0")&amp;"p",IF(N498=0,TEXT(INDEX('Notes and sources'!$C$7:$D$7,1,'Start here'!$C$11)*100,"0")&amp;"p",TEXT(INDEX('Notes and sources'!$C$6:$D$6,1,'Start here'!$C$11)*100,"0")&amp;"p/"&amp;TEXT(INDEX('Notes and sources'!$C$7:$D$7,1,'Start here'!$C$11)*100,"0")&amp;"p")),IF(H498="Motorcycle",TEXT(INDEX('Notes and sources'!$C$8:$D$8,1,'Start here'!$C$11)*100,"0")&amp;"p",IF(H498="Bicycle",TEXT(INDEX('Notes and sources'!$C$9:$D$9,1,'Start here'!$C$11)*100,"0")&amp;"p",""))))</f>
        <v/>
      </c>
      <c r="K498" s="26" t="str">
        <f aca="false">IF(F498="","",ROUND(IF(H498="Car or van",N498*INDEX('Notes and sources'!$C$6:$D$6,1,'Start here'!$C$11)+O498*INDEX('Notes and sources'!$C$7:$D$7,1,'Start here'!$C$11)+N(G498)*N(F498)*INDEX('Notes and sources'!$C$10:$D$10,1,'Start here'!$C$11),IF(H498="Motorcycle",N(F498)*INDEX('Notes and sources'!$C$8:$D$8,1,'Start here'!$C$11),IF(H498="Bicycle",N(F498)*INDEX('Notes and sources'!$C$9:$D$9,1,'Start here'!$C$11),0))),2))</f>
        <v/>
      </c>
      <c r="L498" s="27"/>
      <c r="N498" s="2" t="n">
        <f aca="false">IF(I498="",0,MAX(0,MIN(N(F498),INDEX('Notes and sources'!$C$12:$D$12,1,'Start here'!$C$11)-(I498-N(F498)))))</f>
        <v>0</v>
      </c>
      <c r="O498" s="2" t="n">
        <f aca="false">IF(I498="",0,N(F498)-N498)</f>
        <v>0</v>
      </c>
      <c r="P498" s="2" t="str">
        <f aca="false">IF(A498="","",IF(AND(MONTH(A498)=4,DAY(A498)&lt;6),13,MOD(MONTH(A498)-4,12)+1))</f>
        <v/>
      </c>
    </row>
    <row r="499" customFormat="false" ht="15" hidden="false" customHeight="false" outlineLevel="0" collapsed="false">
      <c r="A499" s="21"/>
      <c r="B499" s="6"/>
      <c r="C499" s="6"/>
      <c r="D499" s="6"/>
      <c r="E499" s="6"/>
      <c r="F499" s="22"/>
      <c r="G499" s="23"/>
      <c r="H499" s="24" t="str">
        <f aca="false">IF(B499="","",IFERROR(INDEX('Start here'!$C$16:$C$20,MATCH(B499,'Start here'!$B$16:$B$20,0)),"Check vehicle"))</f>
        <v/>
      </c>
      <c r="I499" s="25" t="str">
        <f aca="false">IF(OR(F499="",H499&lt;&gt;"Car or van"),"",SUMIFS($F$6:F499,$H$6:H499,"Car or van"))</f>
        <v/>
      </c>
      <c r="J499" s="24" t="str">
        <f aca="false">IF(F499="","",IF(H499="Car or van",IF(O499=0,TEXT(INDEX('Notes and sources'!$C$6:$D$6,1,'Start here'!$C$11)*100,"0")&amp;"p",IF(N499=0,TEXT(INDEX('Notes and sources'!$C$7:$D$7,1,'Start here'!$C$11)*100,"0")&amp;"p",TEXT(INDEX('Notes and sources'!$C$6:$D$6,1,'Start here'!$C$11)*100,"0")&amp;"p/"&amp;TEXT(INDEX('Notes and sources'!$C$7:$D$7,1,'Start here'!$C$11)*100,"0")&amp;"p")),IF(H499="Motorcycle",TEXT(INDEX('Notes and sources'!$C$8:$D$8,1,'Start here'!$C$11)*100,"0")&amp;"p",IF(H499="Bicycle",TEXT(INDEX('Notes and sources'!$C$9:$D$9,1,'Start here'!$C$11)*100,"0")&amp;"p",""))))</f>
        <v/>
      </c>
      <c r="K499" s="26" t="str">
        <f aca="false">IF(F499="","",ROUND(IF(H499="Car or van",N499*INDEX('Notes and sources'!$C$6:$D$6,1,'Start here'!$C$11)+O499*INDEX('Notes and sources'!$C$7:$D$7,1,'Start here'!$C$11)+N(G499)*N(F499)*INDEX('Notes and sources'!$C$10:$D$10,1,'Start here'!$C$11),IF(H499="Motorcycle",N(F499)*INDEX('Notes and sources'!$C$8:$D$8,1,'Start here'!$C$11),IF(H499="Bicycle",N(F499)*INDEX('Notes and sources'!$C$9:$D$9,1,'Start here'!$C$11),0))),2))</f>
        <v/>
      </c>
      <c r="L499" s="27"/>
      <c r="N499" s="2" t="n">
        <f aca="false">IF(I499="",0,MAX(0,MIN(N(F499),INDEX('Notes and sources'!$C$12:$D$12,1,'Start here'!$C$11)-(I499-N(F499)))))</f>
        <v>0</v>
      </c>
      <c r="O499" s="2" t="n">
        <f aca="false">IF(I499="",0,N(F499)-N499)</f>
        <v>0</v>
      </c>
      <c r="P499" s="2" t="str">
        <f aca="false">IF(A499="","",IF(AND(MONTH(A499)=4,DAY(A499)&lt;6),13,MOD(MONTH(A499)-4,12)+1))</f>
        <v/>
      </c>
    </row>
    <row r="500" customFormat="false" ht="15" hidden="false" customHeight="false" outlineLevel="0" collapsed="false">
      <c r="A500" s="21"/>
      <c r="B500" s="6"/>
      <c r="C500" s="6"/>
      <c r="D500" s="6"/>
      <c r="E500" s="6"/>
      <c r="F500" s="22"/>
      <c r="G500" s="23"/>
      <c r="H500" s="24" t="str">
        <f aca="false">IF(B500="","",IFERROR(INDEX('Start here'!$C$16:$C$20,MATCH(B500,'Start here'!$B$16:$B$20,0)),"Check vehicle"))</f>
        <v/>
      </c>
      <c r="I500" s="25" t="str">
        <f aca="false">IF(OR(F500="",H500&lt;&gt;"Car or van"),"",SUMIFS($F$6:F500,$H$6:H500,"Car or van"))</f>
        <v/>
      </c>
      <c r="J500" s="24" t="str">
        <f aca="false">IF(F500="","",IF(H500="Car or van",IF(O500=0,TEXT(INDEX('Notes and sources'!$C$6:$D$6,1,'Start here'!$C$11)*100,"0")&amp;"p",IF(N500=0,TEXT(INDEX('Notes and sources'!$C$7:$D$7,1,'Start here'!$C$11)*100,"0")&amp;"p",TEXT(INDEX('Notes and sources'!$C$6:$D$6,1,'Start here'!$C$11)*100,"0")&amp;"p/"&amp;TEXT(INDEX('Notes and sources'!$C$7:$D$7,1,'Start here'!$C$11)*100,"0")&amp;"p")),IF(H500="Motorcycle",TEXT(INDEX('Notes and sources'!$C$8:$D$8,1,'Start here'!$C$11)*100,"0")&amp;"p",IF(H500="Bicycle",TEXT(INDEX('Notes and sources'!$C$9:$D$9,1,'Start here'!$C$11)*100,"0")&amp;"p",""))))</f>
        <v/>
      </c>
      <c r="K500" s="26" t="str">
        <f aca="false">IF(F500="","",ROUND(IF(H500="Car or van",N500*INDEX('Notes and sources'!$C$6:$D$6,1,'Start here'!$C$11)+O500*INDEX('Notes and sources'!$C$7:$D$7,1,'Start here'!$C$11)+N(G500)*N(F500)*INDEX('Notes and sources'!$C$10:$D$10,1,'Start here'!$C$11),IF(H500="Motorcycle",N(F500)*INDEX('Notes and sources'!$C$8:$D$8,1,'Start here'!$C$11),IF(H500="Bicycle",N(F500)*INDEX('Notes and sources'!$C$9:$D$9,1,'Start here'!$C$11),0))),2))</f>
        <v/>
      </c>
      <c r="L500" s="27"/>
      <c r="N500" s="2" t="n">
        <f aca="false">IF(I500="",0,MAX(0,MIN(N(F500),INDEX('Notes and sources'!$C$12:$D$12,1,'Start here'!$C$11)-(I500-N(F500)))))</f>
        <v>0</v>
      </c>
      <c r="O500" s="2" t="n">
        <f aca="false">IF(I500="",0,N(F500)-N500)</f>
        <v>0</v>
      </c>
      <c r="P500" s="2" t="str">
        <f aca="false">IF(A500="","",IF(AND(MONTH(A500)=4,DAY(A500)&lt;6),13,MOD(MONTH(A500)-4,12)+1))</f>
        <v/>
      </c>
    </row>
    <row r="501" customFormat="false" ht="15" hidden="false" customHeight="false" outlineLevel="0" collapsed="false">
      <c r="A501" s="21"/>
      <c r="B501" s="6"/>
      <c r="C501" s="6"/>
      <c r="D501" s="6"/>
      <c r="E501" s="6"/>
      <c r="F501" s="22"/>
      <c r="G501" s="23"/>
      <c r="H501" s="24" t="str">
        <f aca="false">IF(B501="","",IFERROR(INDEX('Start here'!$C$16:$C$20,MATCH(B501,'Start here'!$B$16:$B$20,0)),"Check vehicle"))</f>
        <v/>
      </c>
      <c r="I501" s="25" t="str">
        <f aca="false">IF(OR(F501="",H501&lt;&gt;"Car or van"),"",SUMIFS($F$6:F501,$H$6:H501,"Car or van"))</f>
        <v/>
      </c>
      <c r="J501" s="24" t="str">
        <f aca="false">IF(F501="","",IF(H501="Car or van",IF(O501=0,TEXT(INDEX('Notes and sources'!$C$6:$D$6,1,'Start here'!$C$11)*100,"0")&amp;"p",IF(N501=0,TEXT(INDEX('Notes and sources'!$C$7:$D$7,1,'Start here'!$C$11)*100,"0")&amp;"p",TEXT(INDEX('Notes and sources'!$C$6:$D$6,1,'Start here'!$C$11)*100,"0")&amp;"p/"&amp;TEXT(INDEX('Notes and sources'!$C$7:$D$7,1,'Start here'!$C$11)*100,"0")&amp;"p")),IF(H501="Motorcycle",TEXT(INDEX('Notes and sources'!$C$8:$D$8,1,'Start here'!$C$11)*100,"0")&amp;"p",IF(H501="Bicycle",TEXT(INDEX('Notes and sources'!$C$9:$D$9,1,'Start here'!$C$11)*100,"0")&amp;"p",""))))</f>
        <v/>
      </c>
      <c r="K501" s="26" t="str">
        <f aca="false">IF(F501="","",ROUND(IF(H501="Car or van",N501*INDEX('Notes and sources'!$C$6:$D$6,1,'Start here'!$C$11)+O501*INDEX('Notes and sources'!$C$7:$D$7,1,'Start here'!$C$11)+N(G501)*N(F501)*INDEX('Notes and sources'!$C$10:$D$10,1,'Start here'!$C$11),IF(H501="Motorcycle",N(F501)*INDEX('Notes and sources'!$C$8:$D$8,1,'Start here'!$C$11),IF(H501="Bicycle",N(F501)*INDEX('Notes and sources'!$C$9:$D$9,1,'Start here'!$C$11),0))),2))</f>
        <v/>
      </c>
      <c r="L501" s="27"/>
      <c r="N501" s="2" t="n">
        <f aca="false">IF(I501="",0,MAX(0,MIN(N(F501),INDEX('Notes and sources'!$C$12:$D$12,1,'Start here'!$C$11)-(I501-N(F501)))))</f>
        <v>0</v>
      </c>
      <c r="O501" s="2" t="n">
        <f aca="false">IF(I501="",0,N(F501)-N501)</f>
        <v>0</v>
      </c>
      <c r="P501" s="2" t="str">
        <f aca="false">IF(A501="","",IF(AND(MONTH(A501)=4,DAY(A501)&lt;6),13,MOD(MONTH(A501)-4,12)+1))</f>
        <v/>
      </c>
    </row>
    <row r="502" customFormat="false" ht="15" hidden="false" customHeight="false" outlineLevel="0" collapsed="false">
      <c r="A502" s="21"/>
      <c r="B502" s="6"/>
      <c r="C502" s="6"/>
      <c r="D502" s="6"/>
      <c r="E502" s="6"/>
      <c r="F502" s="22"/>
      <c r="G502" s="23"/>
      <c r="H502" s="24" t="str">
        <f aca="false">IF(B502="","",IFERROR(INDEX('Start here'!$C$16:$C$20,MATCH(B502,'Start here'!$B$16:$B$20,0)),"Check vehicle"))</f>
        <v/>
      </c>
      <c r="I502" s="25" t="str">
        <f aca="false">IF(OR(F502="",H502&lt;&gt;"Car or van"),"",SUMIFS($F$6:F502,$H$6:H502,"Car or van"))</f>
        <v/>
      </c>
      <c r="J502" s="24" t="str">
        <f aca="false">IF(F502="","",IF(H502="Car or van",IF(O502=0,TEXT(INDEX('Notes and sources'!$C$6:$D$6,1,'Start here'!$C$11)*100,"0")&amp;"p",IF(N502=0,TEXT(INDEX('Notes and sources'!$C$7:$D$7,1,'Start here'!$C$11)*100,"0")&amp;"p",TEXT(INDEX('Notes and sources'!$C$6:$D$6,1,'Start here'!$C$11)*100,"0")&amp;"p/"&amp;TEXT(INDEX('Notes and sources'!$C$7:$D$7,1,'Start here'!$C$11)*100,"0")&amp;"p")),IF(H502="Motorcycle",TEXT(INDEX('Notes and sources'!$C$8:$D$8,1,'Start here'!$C$11)*100,"0")&amp;"p",IF(H502="Bicycle",TEXT(INDEX('Notes and sources'!$C$9:$D$9,1,'Start here'!$C$11)*100,"0")&amp;"p",""))))</f>
        <v/>
      </c>
      <c r="K502" s="26" t="str">
        <f aca="false">IF(F502="","",ROUND(IF(H502="Car or van",N502*INDEX('Notes and sources'!$C$6:$D$6,1,'Start here'!$C$11)+O502*INDEX('Notes and sources'!$C$7:$D$7,1,'Start here'!$C$11)+N(G502)*N(F502)*INDEX('Notes and sources'!$C$10:$D$10,1,'Start here'!$C$11),IF(H502="Motorcycle",N(F502)*INDEX('Notes and sources'!$C$8:$D$8,1,'Start here'!$C$11),IF(H502="Bicycle",N(F502)*INDEX('Notes and sources'!$C$9:$D$9,1,'Start here'!$C$11),0))),2))</f>
        <v/>
      </c>
      <c r="L502" s="27"/>
      <c r="N502" s="2" t="n">
        <f aca="false">IF(I502="",0,MAX(0,MIN(N(F502),INDEX('Notes and sources'!$C$12:$D$12,1,'Start here'!$C$11)-(I502-N(F502)))))</f>
        <v>0</v>
      </c>
      <c r="O502" s="2" t="n">
        <f aca="false">IF(I502="",0,N(F502)-N502)</f>
        <v>0</v>
      </c>
      <c r="P502" s="2" t="str">
        <f aca="false">IF(A502="","",IF(AND(MONTH(A502)=4,DAY(A502)&lt;6),13,MOD(MONTH(A502)-4,12)+1))</f>
        <v/>
      </c>
    </row>
    <row r="503" customFormat="false" ht="15" hidden="false" customHeight="false" outlineLevel="0" collapsed="false">
      <c r="A503" s="21"/>
      <c r="B503" s="6"/>
      <c r="C503" s="6"/>
      <c r="D503" s="6"/>
      <c r="E503" s="6"/>
      <c r="F503" s="22"/>
      <c r="G503" s="23"/>
      <c r="H503" s="24" t="str">
        <f aca="false">IF(B503="","",IFERROR(INDEX('Start here'!$C$16:$C$20,MATCH(B503,'Start here'!$B$16:$B$20,0)),"Check vehicle"))</f>
        <v/>
      </c>
      <c r="I503" s="25" t="str">
        <f aca="false">IF(OR(F503="",H503&lt;&gt;"Car or van"),"",SUMIFS($F$6:F503,$H$6:H503,"Car or van"))</f>
        <v/>
      </c>
      <c r="J503" s="24" t="str">
        <f aca="false">IF(F503="","",IF(H503="Car or van",IF(O503=0,TEXT(INDEX('Notes and sources'!$C$6:$D$6,1,'Start here'!$C$11)*100,"0")&amp;"p",IF(N503=0,TEXT(INDEX('Notes and sources'!$C$7:$D$7,1,'Start here'!$C$11)*100,"0")&amp;"p",TEXT(INDEX('Notes and sources'!$C$6:$D$6,1,'Start here'!$C$11)*100,"0")&amp;"p/"&amp;TEXT(INDEX('Notes and sources'!$C$7:$D$7,1,'Start here'!$C$11)*100,"0")&amp;"p")),IF(H503="Motorcycle",TEXT(INDEX('Notes and sources'!$C$8:$D$8,1,'Start here'!$C$11)*100,"0")&amp;"p",IF(H503="Bicycle",TEXT(INDEX('Notes and sources'!$C$9:$D$9,1,'Start here'!$C$11)*100,"0")&amp;"p",""))))</f>
        <v/>
      </c>
      <c r="K503" s="26" t="str">
        <f aca="false">IF(F503="","",ROUND(IF(H503="Car or van",N503*INDEX('Notes and sources'!$C$6:$D$6,1,'Start here'!$C$11)+O503*INDEX('Notes and sources'!$C$7:$D$7,1,'Start here'!$C$11)+N(G503)*N(F503)*INDEX('Notes and sources'!$C$10:$D$10,1,'Start here'!$C$11),IF(H503="Motorcycle",N(F503)*INDEX('Notes and sources'!$C$8:$D$8,1,'Start here'!$C$11),IF(H503="Bicycle",N(F503)*INDEX('Notes and sources'!$C$9:$D$9,1,'Start here'!$C$11),0))),2))</f>
        <v/>
      </c>
      <c r="L503" s="27"/>
      <c r="N503" s="2" t="n">
        <f aca="false">IF(I503="",0,MAX(0,MIN(N(F503),INDEX('Notes and sources'!$C$12:$D$12,1,'Start here'!$C$11)-(I503-N(F503)))))</f>
        <v>0</v>
      </c>
      <c r="O503" s="2" t="n">
        <f aca="false">IF(I503="",0,N(F503)-N503)</f>
        <v>0</v>
      </c>
      <c r="P503" s="2" t="str">
        <f aca="false">IF(A503="","",IF(AND(MONTH(A503)=4,DAY(A503)&lt;6),13,MOD(MONTH(A503)-4,12)+1))</f>
        <v/>
      </c>
    </row>
    <row r="504" customFormat="false" ht="15" hidden="false" customHeight="false" outlineLevel="0" collapsed="false">
      <c r="A504" s="21"/>
      <c r="B504" s="6"/>
      <c r="C504" s="6"/>
      <c r="D504" s="6"/>
      <c r="E504" s="6"/>
      <c r="F504" s="22"/>
      <c r="G504" s="23"/>
      <c r="H504" s="24" t="str">
        <f aca="false">IF(B504="","",IFERROR(INDEX('Start here'!$C$16:$C$20,MATCH(B504,'Start here'!$B$16:$B$20,0)),"Check vehicle"))</f>
        <v/>
      </c>
      <c r="I504" s="25" t="str">
        <f aca="false">IF(OR(F504="",H504&lt;&gt;"Car or van"),"",SUMIFS($F$6:F504,$H$6:H504,"Car or van"))</f>
        <v/>
      </c>
      <c r="J504" s="24" t="str">
        <f aca="false">IF(F504="","",IF(H504="Car or van",IF(O504=0,TEXT(INDEX('Notes and sources'!$C$6:$D$6,1,'Start here'!$C$11)*100,"0")&amp;"p",IF(N504=0,TEXT(INDEX('Notes and sources'!$C$7:$D$7,1,'Start here'!$C$11)*100,"0")&amp;"p",TEXT(INDEX('Notes and sources'!$C$6:$D$6,1,'Start here'!$C$11)*100,"0")&amp;"p/"&amp;TEXT(INDEX('Notes and sources'!$C$7:$D$7,1,'Start here'!$C$11)*100,"0")&amp;"p")),IF(H504="Motorcycle",TEXT(INDEX('Notes and sources'!$C$8:$D$8,1,'Start here'!$C$11)*100,"0")&amp;"p",IF(H504="Bicycle",TEXT(INDEX('Notes and sources'!$C$9:$D$9,1,'Start here'!$C$11)*100,"0")&amp;"p",""))))</f>
        <v/>
      </c>
      <c r="K504" s="26" t="str">
        <f aca="false">IF(F504="","",ROUND(IF(H504="Car or van",N504*INDEX('Notes and sources'!$C$6:$D$6,1,'Start here'!$C$11)+O504*INDEX('Notes and sources'!$C$7:$D$7,1,'Start here'!$C$11)+N(G504)*N(F504)*INDEX('Notes and sources'!$C$10:$D$10,1,'Start here'!$C$11),IF(H504="Motorcycle",N(F504)*INDEX('Notes and sources'!$C$8:$D$8,1,'Start here'!$C$11),IF(H504="Bicycle",N(F504)*INDEX('Notes and sources'!$C$9:$D$9,1,'Start here'!$C$11),0))),2))</f>
        <v/>
      </c>
      <c r="L504" s="27"/>
      <c r="N504" s="2" t="n">
        <f aca="false">IF(I504="",0,MAX(0,MIN(N(F504),INDEX('Notes and sources'!$C$12:$D$12,1,'Start here'!$C$11)-(I504-N(F504)))))</f>
        <v>0</v>
      </c>
      <c r="O504" s="2" t="n">
        <f aca="false">IF(I504="",0,N(F504)-N504)</f>
        <v>0</v>
      </c>
      <c r="P504" s="2" t="str">
        <f aca="false">IF(A504="","",IF(AND(MONTH(A504)=4,DAY(A504)&lt;6),13,MOD(MONTH(A504)-4,12)+1))</f>
        <v/>
      </c>
    </row>
    <row r="505" customFormat="false" ht="15" hidden="false" customHeight="false" outlineLevel="0" collapsed="false">
      <c r="A505" s="21"/>
      <c r="B505" s="6"/>
      <c r="C505" s="6"/>
      <c r="D505" s="6"/>
      <c r="E505" s="6"/>
      <c r="F505" s="22"/>
      <c r="G505" s="23"/>
      <c r="H505" s="24" t="str">
        <f aca="false">IF(B505="","",IFERROR(INDEX('Start here'!$C$16:$C$20,MATCH(B505,'Start here'!$B$16:$B$20,0)),"Check vehicle"))</f>
        <v/>
      </c>
      <c r="I505" s="25" t="str">
        <f aca="false">IF(OR(F505="",H505&lt;&gt;"Car or van"),"",SUMIFS($F$6:F505,$H$6:H505,"Car or van"))</f>
        <v/>
      </c>
      <c r="J505" s="24" t="str">
        <f aca="false">IF(F505="","",IF(H505="Car or van",IF(O505=0,TEXT(INDEX('Notes and sources'!$C$6:$D$6,1,'Start here'!$C$11)*100,"0")&amp;"p",IF(N505=0,TEXT(INDEX('Notes and sources'!$C$7:$D$7,1,'Start here'!$C$11)*100,"0")&amp;"p",TEXT(INDEX('Notes and sources'!$C$6:$D$6,1,'Start here'!$C$11)*100,"0")&amp;"p/"&amp;TEXT(INDEX('Notes and sources'!$C$7:$D$7,1,'Start here'!$C$11)*100,"0")&amp;"p")),IF(H505="Motorcycle",TEXT(INDEX('Notes and sources'!$C$8:$D$8,1,'Start here'!$C$11)*100,"0")&amp;"p",IF(H505="Bicycle",TEXT(INDEX('Notes and sources'!$C$9:$D$9,1,'Start here'!$C$11)*100,"0")&amp;"p",""))))</f>
        <v/>
      </c>
      <c r="K505" s="26" t="str">
        <f aca="false">IF(F505="","",ROUND(IF(H505="Car or van",N505*INDEX('Notes and sources'!$C$6:$D$6,1,'Start here'!$C$11)+O505*INDEX('Notes and sources'!$C$7:$D$7,1,'Start here'!$C$11)+N(G505)*N(F505)*INDEX('Notes and sources'!$C$10:$D$10,1,'Start here'!$C$11),IF(H505="Motorcycle",N(F505)*INDEX('Notes and sources'!$C$8:$D$8,1,'Start here'!$C$11),IF(H505="Bicycle",N(F505)*INDEX('Notes and sources'!$C$9:$D$9,1,'Start here'!$C$11),0))),2))</f>
        <v/>
      </c>
      <c r="L505" s="27"/>
      <c r="N505" s="2" t="n">
        <f aca="false">IF(I505="",0,MAX(0,MIN(N(F505),INDEX('Notes and sources'!$C$12:$D$12,1,'Start here'!$C$11)-(I505-N(F505)))))</f>
        <v>0</v>
      </c>
      <c r="O505" s="2" t="n">
        <f aca="false">IF(I505="",0,N(F505)-N505)</f>
        <v>0</v>
      </c>
      <c r="P505" s="2" t="str">
        <f aca="false">IF(A505="","",IF(AND(MONTH(A505)=4,DAY(A505)&lt;6),13,MOD(MONTH(A505)-4,12)+1))</f>
        <v/>
      </c>
    </row>
    <row r="506" customFormat="false" ht="15" hidden="false" customHeight="false" outlineLevel="0" collapsed="false">
      <c r="E506" s="14" t="s">
        <v>80</v>
      </c>
      <c r="F506" s="29" t="n">
        <f aca="false">SUM(F6:F505)</f>
        <v>0</v>
      </c>
      <c r="K506" s="30" t="n">
        <f aca="false">SUM(K6:K505)</f>
        <v>0</v>
      </c>
      <c r="L506" s="30" t="n">
        <f aca="false">SUM(L6:L505)</f>
        <v>0</v>
      </c>
    </row>
  </sheetData>
  <sheetProtection sheet="true" formatCells="false" formatColumns="false" formatRows="false" sort="false" autoFilter="false"/>
  <mergeCells count="5">
    <mergeCell ref="R7:S9"/>
    <mergeCell ref="R12:S14"/>
    <mergeCell ref="R18:S20"/>
    <mergeCell ref="R23:S25"/>
    <mergeCell ref="R29:S31"/>
  </mergeCells>
  <conditionalFormatting sqref="H6:H505">
    <cfRule type="expression" priority="2" aboveAverage="0" equalAverage="0" bottom="0" percent="0" rank="0" text="" dxfId="1">
      <formula>H6="Check vehicle"</formula>
    </cfRule>
  </conditionalFormatting>
  <dataValidations count="3">
    <dataValidation allowBlank="true" error="Enter a date within the tax year you chose on &quot;Start here&quot;." errorStyle="stop" errorTitle="Date outside the tax year" operator="between" showDropDown="false" showErrorMessage="false" showInputMessage="false" sqref="A6:A505" type="date">
      <formula1>'Start here'!$C$9</formula1>
      <formula2>EDATE('Start here'!$C$9,12)-1</formula2>
    </dataValidation>
    <dataValidation allowBlank="true" errorStyle="stop" operator="between" showDropDown="false" showErrorMessage="false" showInputMessage="false" sqref="B6:B505" type="list">
      <formula1>'Start here'!$B$16:$B$20</formula1>
      <formula2>0</formula2>
    </dataValidation>
    <dataValidation allowBlank="true" errorStyle="stop" operator="greaterThanOrEqual" showDropDown="false" showErrorMessage="false" showInputMessage="false" sqref="F6:G505 L6:L505" type="decimal">
      <formula1>0</formula1>
      <formula2>0</formula2>
    </dataValidation>
  </dataValidations>
  <hyperlinks>
    <hyperlink ref="R15" r:id="rId1" display="HMRC 490: employee travel guide"/>
    <hyperlink ref="R26" r:id="rId2" display="GOV.UK: claim tax relief for vehicles you use for work"/>
    <hyperlink ref="R32" r:id="rId3" display="GOV.UK: business travel mileage rul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8" min="3" style="0" width="14"/>
  </cols>
  <sheetData>
    <row r="1" customFormat="false" ht="19.7" hidden="false" customHeight="false" outlineLevel="0" collapsed="false">
      <c r="A1" s="1" t="s">
        <v>81</v>
      </c>
    </row>
    <row r="2" customFormat="false" ht="15" hidden="false" customHeight="false" outlineLevel="0" collapsed="false">
      <c r="A2" s="2" t="s">
        <v>82</v>
      </c>
    </row>
    <row r="3" customFormat="false" ht="15" hidden="false" customHeight="false" outlineLevel="0" collapsed="false">
      <c r="B3" s="14" t="str">
        <f aca="false">"Tax year "&amp;'Start here'!C8&amp;" · "&amp;IF('Start here'!C6="","",'Start here'!C6)&amp;IF('Start here'!C7="",""," · "&amp;'Start here'!C7)</f>
        <v>Tax year 2026/27 · </v>
      </c>
    </row>
    <row r="5" customFormat="false" ht="15" hidden="false" customHeight="false" outlineLevel="0" collapsed="false">
      <c r="B5" s="31" t="s">
        <v>83</v>
      </c>
      <c r="C5" s="31" t="s">
        <v>84</v>
      </c>
      <c r="D5" s="31" t="s">
        <v>56</v>
      </c>
      <c r="E5" s="31" t="s">
        <v>85</v>
      </c>
      <c r="F5" s="31" t="s">
        <v>61</v>
      </c>
      <c r="G5" s="31" t="s">
        <v>86</v>
      </c>
      <c r="H5" s="31" t="s">
        <v>87</v>
      </c>
    </row>
    <row r="6" customFormat="false" ht="15" hidden="false" customHeight="false" outlineLevel="0" collapsed="false">
      <c r="B6" s="24" t="str">
        <f aca="false">IF(1=1,TEXT('Start here'!$C$9,"mmmm yyyy")&amp;" (from 6th)",IF(1=13,TEXT('Start here'!$C$10,"mmmm yyyy")&amp;" (1st to 5th)",TEXT(EDATE('Start here'!$C$9,0),"mmmm yyyy")))</f>
        <v>April 2026 (from 6th)</v>
      </c>
      <c r="C6" s="32" t="n">
        <f aca="false">COUNTIFS('Journey log'!$P$6:$P$505,1,'Journey log'!$F$6:$F$505,"&gt;0")</f>
        <v>0</v>
      </c>
      <c r="D6" s="33" t="n">
        <f aca="false">SUMIFS('Journey log'!$F$6:$F$505,'Journey log'!$P$6:$P$505,1)</f>
        <v>0</v>
      </c>
      <c r="E6" s="33" t="n">
        <f aca="false">SUMIFS('Journey log'!$F$6:$F$505,'Journey log'!$P$6:$P$505,1,'Journey log'!$H$6:$H$505,"Car or van")</f>
        <v>0</v>
      </c>
      <c r="F6" s="26" t="n">
        <f aca="false">SUMIFS('Journey log'!$K$6:$K$505,'Journey log'!$P$6:$P$505,1)</f>
        <v>0</v>
      </c>
      <c r="G6" s="26" t="n">
        <f aca="false">SUMIFS('Journey log'!$L$6:$L$505,'Journey log'!$P$6:$P$505,1)</f>
        <v>0</v>
      </c>
      <c r="H6" s="26" t="n">
        <f aca="false">G6-F6</f>
        <v>0</v>
      </c>
    </row>
    <row r="7" customFormat="false" ht="15" hidden="false" customHeight="false" outlineLevel="0" collapsed="false">
      <c r="B7" s="24" t="str">
        <f aca="false">IF(2=1,TEXT('Start here'!$C$9,"mmmm yyyy")&amp;" (from 6th)",IF(2=13,TEXT('Start here'!$C$10,"mmmm yyyy")&amp;" (1st to 5th)",TEXT(EDATE('Start here'!$C$9,1),"mmmm yyyy")))</f>
        <v>May 2026</v>
      </c>
      <c r="C7" s="32" t="n">
        <f aca="false">COUNTIFS('Journey log'!$P$6:$P$505,2,'Journey log'!$F$6:$F$505,"&gt;0")</f>
        <v>0</v>
      </c>
      <c r="D7" s="33" t="n">
        <f aca="false">SUMIFS('Journey log'!$F$6:$F$505,'Journey log'!$P$6:$P$505,2)</f>
        <v>0</v>
      </c>
      <c r="E7" s="33" t="n">
        <f aca="false">SUMIFS('Journey log'!$F$6:$F$505,'Journey log'!$P$6:$P$505,2,'Journey log'!$H$6:$H$505,"Car or van")</f>
        <v>0</v>
      </c>
      <c r="F7" s="26" t="n">
        <f aca="false">SUMIFS('Journey log'!$K$6:$K$505,'Journey log'!$P$6:$P$505,2)</f>
        <v>0</v>
      </c>
      <c r="G7" s="26" t="n">
        <f aca="false">SUMIFS('Journey log'!$L$6:$L$505,'Journey log'!$P$6:$P$505,2)</f>
        <v>0</v>
      </c>
      <c r="H7" s="26" t="n">
        <f aca="false">G7-F7</f>
        <v>0</v>
      </c>
    </row>
    <row r="8" customFormat="false" ht="15" hidden="false" customHeight="false" outlineLevel="0" collapsed="false">
      <c r="B8" s="24" t="str">
        <f aca="false">IF(3=1,TEXT('Start here'!$C$9,"mmmm yyyy")&amp;" (from 6th)",IF(3=13,TEXT('Start here'!$C$10,"mmmm yyyy")&amp;" (1st to 5th)",TEXT(EDATE('Start here'!$C$9,2),"mmmm yyyy")))</f>
        <v>June 2026</v>
      </c>
      <c r="C8" s="32" t="n">
        <f aca="false">COUNTIFS('Journey log'!$P$6:$P$505,3,'Journey log'!$F$6:$F$505,"&gt;0")</f>
        <v>0</v>
      </c>
      <c r="D8" s="33" t="n">
        <f aca="false">SUMIFS('Journey log'!$F$6:$F$505,'Journey log'!$P$6:$P$505,3)</f>
        <v>0</v>
      </c>
      <c r="E8" s="33" t="n">
        <f aca="false">SUMIFS('Journey log'!$F$6:$F$505,'Journey log'!$P$6:$P$505,3,'Journey log'!$H$6:$H$505,"Car or van")</f>
        <v>0</v>
      </c>
      <c r="F8" s="26" t="n">
        <f aca="false">SUMIFS('Journey log'!$K$6:$K$505,'Journey log'!$P$6:$P$505,3)</f>
        <v>0</v>
      </c>
      <c r="G8" s="26" t="n">
        <f aca="false">SUMIFS('Journey log'!$L$6:$L$505,'Journey log'!$P$6:$P$505,3)</f>
        <v>0</v>
      </c>
      <c r="H8" s="26" t="n">
        <f aca="false">G8-F8</f>
        <v>0</v>
      </c>
    </row>
    <row r="9" customFormat="false" ht="15" hidden="false" customHeight="false" outlineLevel="0" collapsed="false">
      <c r="B9" s="24" t="str">
        <f aca="false">IF(4=1,TEXT('Start here'!$C$9,"mmmm yyyy")&amp;" (from 6th)",IF(4=13,TEXT('Start here'!$C$10,"mmmm yyyy")&amp;" (1st to 5th)",TEXT(EDATE('Start here'!$C$9,3),"mmmm yyyy")))</f>
        <v>July 2026</v>
      </c>
      <c r="C9" s="32" t="n">
        <f aca="false">COUNTIFS('Journey log'!$P$6:$P$505,4,'Journey log'!$F$6:$F$505,"&gt;0")</f>
        <v>0</v>
      </c>
      <c r="D9" s="33" t="n">
        <f aca="false">SUMIFS('Journey log'!$F$6:$F$505,'Journey log'!$P$6:$P$505,4)</f>
        <v>0</v>
      </c>
      <c r="E9" s="33" t="n">
        <f aca="false">SUMIFS('Journey log'!$F$6:$F$505,'Journey log'!$P$6:$P$505,4,'Journey log'!$H$6:$H$505,"Car or van")</f>
        <v>0</v>
      </c>
      <c r="F9" s="26" t="n">
        <f aca="false">SUMIFS('Journey log'!$K$6:$K$505,'Journey log'!$P$6:$P$505,4)</f>
        <v>0</v>
      </c>
      <c r="G9" s="26" t="n">
        <f aca="false">SUMIFS('Journey log'!$L$6:$L$505,'Journey log'!$P$6:$P$505,4)</f>
        <v>0</v>
      </c>
      <c r="H9" s="26" t="n">
        <f aca="false">G9-F9</f>
        <v>0</v>
      </c>
    </row>
    <row r="10" customFormat="false" ht="15" hidden="false" customHeight="false" outlineLevel="0" collapsed="false">
      <c r="B10" s="24" t="str">
        <f aca="false">IF(5=1,TEXT('Start here'!$C$9,"mmmm yyyy")&amp;" (from 6th)",IF(5=13,TEXT('Start here'!$C$10,"mmmm yyyy")&amp;" (1st to 5th)",TEXT(EDATE('Start here'!$C$9,4),"mmmm yyyy")))</f>
        <v>August 2026</v>
      </c>
      <c r="C10" s="32" t="n">
        <f aca="false">COUNTIFS('Journey log'!$P$6:$P$505,5,'Journey log'!$F$6:$F$505,"&gt;0")</f>
        <v>0</v>
      </c>
      <c r="D10" s="33" t="n">
        <f aca="false">SUMIFS('Journey log'!$F$6:$F$505,'Journey log'!$P$6:$P$505,5)</f>
        <v>0</v>
      </c>
      <c r="E10" s="33" t="n">
        <f aca="false">SUMIFS('Journey log'!$F$6:$F$505,'Journey log'!$P$6:$P$505,5,'Journey log'!$H$6:$H$505,"Car or van")</f>
        <v>0</v>
      </c>
      <c r="F10" s="26" t="n">
        <f aca="false">SUMIFS('Journey log'!$K$6:$K$505,'Journey log'!$P$6:$P$505,5)</f>
        <v>0</v>
      </c>
      <c r="G10" s="26" t="n">
        <f aca="false">SUMIFS('Journey log'!$L$6:$L$505,'Journey log'!$P$6:$P$505,5)</f>
        <v>0</v>
      </c>
      <c r="H10" s="26" t="n">
        <f aca="false">G10-F10</f>
        <v>0</v>
      </c>
    </row>
    <row r="11" customFormat="false" ht="15" hidden="false" customHeight="false" outlineLevel="0" collapsed="false">
      <c r="B11" s="24" t="str">
        <f aca="false">IF(6=1,TEXT('Start here'!$C$9,"mmmm yyyy")&amp;" (from 6th)",IF(6=13,TEXT('Start here'!$C$10,"mmmm yyyy")&amp;" (1st to 5th)",TEXT(EDATE('Start here'!$C$9,5),"mmmm yyyy")))</f>
        <v>September 2026</v>
      </c>
      <c r="C11" s="32" t="n">
        <f aca="false">COUNTIFS('Journey log'!$P$6:$P$505,6,'Journey log'!$F$6:$F$505,"&gt;0")</f>
        <v>0</v>
      </c>
      <c r="D11" s="33" t="n">
        <f aca="false">SUMIFS('Journey log'!$F$6:$F$505,'Journey log'!$P$6:$P$505,6)</f>
        <v>0</v>
      </c>
      <c r="E11" s="33" t="n">
        <f aca="false">SUMIFS('Journey log'!$F$6:$F$505,'Journey log'!$P$6:$P$505,6,'Journey log'!$H$6:$H$505,"Car or van")</f>
        <v>0</v>
      </c>
      <c r="F11" s="26" t="n">
        <f aca="false">SUMIFS('Journey log'!$K$6:$K$505,'Journey log'!$P$6:$P$505,6)</f>
        <v>0</v>
      </c>
      <c r="G11" s="26" t="n">
        <f aca="false">SUMIFS('Journey log'!$L$6:$L$505,'Journey log'!$P$6:$P$505,6)</f>
        <v>0</v>
      </c>
      <c r="H11" s="26" t="n">
        <f aca="false">G11-F11</f>
        <v>0</v>
      </c>
    </row>
    <row r="12" customFormat="false" ht="15" hidden="false" customHeight="false" outlineLevel="0" collapsed="false">
      <c r="B12" s="24" t="str">
        <f aca="false">IF(7=1,TEXT('Start here'!$C$9,"mmmm yyyy")&amp;" (from 6th)",IF(7=13,TEXT('Start here'!$C$10,"mmmm yyyy")&amp;" (1st to 5th)",TEXT(EDATE('Start here'!$C$9,6),"mmmm yyyy")))</f>
        <v>October 2026</v>
      </c>
      <c r="C12" s="32" t="n">
        <f aca="false">COUNTIFS('Journey log'!$P$6:$P$505,7,'Journey log'!$F$6:$F$505,"&gt;0")</f>
        <v>0</v>
      </c>
      <c r="D12" s="33" t="n">
        <f aca="false">SUMIFS('Journey log'!$F$6:$F$505,'Journey log'!$P$6:$P$505,7)</f>
        <v>0</v>
      </c>
      <c r="E12" s="33" t="n">
        <f aca="false">SUMIFS('Journey log'!$F$6:$F$505,'Journey log'!$P$6:$P$505,7,'Journey log'!$H$6:$H$505,"Car or van")</f>
        <v>0</v>
      </c>
      <c r="F12" s="26" t="n">
        <f aca="false">SUMIFS('Journey log'!$K$6:$K$505,'Journey log'!$P$6:$P$505,7)</f>
        <v>0</v>
      </c>
      <c r="G12" s="26" t="n">
        <f aca="false">SUMIFS('Journey log'!$L$6:$L$505,'Journey log'!$P$6:$P$505,7)</f>
        <v>0</v>
      </c>
      <c r="H12" s="26" t="n">
        <f aca="false">G12-F12</f>
        <v>0</v>
      </c>
    </row>
    <row r="13" customFormat="false" ht="15" hidden="false" customHeight="false" outlineLevel="0" collapsed="false">
      <c r="B13" s="24" t="str">
        <f aca="false">IF(8=1,TEXT('Start here'!$C$9,"mmmm yyyy")&amp;" (from 6th)",IF(8=13,TEXT('Start here'!$C$10,"mmmm yyyy")&amp;" (1st to 5th)",TEXT(EDATE('Start here'!$C$9,7),"mmmm yyyy")))</f>
        <v>November 2026</v>
      </c>
      <c r="C13" s="32" t="n">
        <f aca="false">COUNTIFS('Journey log'!$P$6:$P$505,8,'Journey log'!$F$6:$F$505,"&gt;0")</f>
        <v>0</v>
      </c>
      <c r="D13" s="33" t="n">
        <f aca="false">SUMIFS('Journey log'!$F$6:$F$505,'Journey log'!$P$6:$P$505,8)</f>
        <v>0</v>
      </c>
      <c r="E13" s="33" t="n">
        <f aca="false">SUMIFS('Journey log'!$F$6:$F$505,'Journey log'!$P$6:$P$505,8,'Journey log'!$H$6:$H$505,"Car or van")</f>
        <v>0</v>
      </c>
      <c r="F13" s="26" t="n">
        <f aca="false">SUMIFS('Journey log'!$K$6:$K$505,'Journey log'!$P$6:$P$505,8)</f>
        <v>0</v>
      </c>
      <c r="G13" s="26" t="n">
        <f aca="false">SUMIFS('Journey log'!$L$6:$L$505,'Journey log'!$P$6:$P$505,8)</f>
        <v>0</v>
      </c>
      <c r="H13" s="26" t="n">
        <f aca="false">G13-F13</f>
        <v>0</v>
      </c>
    </row>
    <row r="14" customFormat="false" ht="15" hidden="false" customHeight="false" outlineLevel="0" collapsed="false">
      <c r="B14" s="24" t="str">
        <f aca="false">IF(9=1,TEXT('Start here'!$C$9,"mmmm yyyy")&amp;" (from 6th)",IF(9=13,TEXT('Start here'!$C$10,"mmmm yyyy")&amp;" (1st to 5th)",TEXT(EDATE('Start here'!$C$9,8),"mmmm yyyy")))</f>
        <v>December 2026</v>
      </c>
      <c r="C14" s="32" t="n">
        <f aca="false">COUNTIFS('Journey log'!$P$6:$P$505,9,'Journey log'!$F$6:$F$505,"&gt;0")</f>
        <v>0</v>
      </c>
      <c r="D14" s="33" t="n">
        <f aca="false">SUMIFS('Journey log'!$F$6:$F$505,'Journey log'!$P$6:$P$505,9)</f>
        <v>0</v>
      </c>
      <c r="E14" s="33" t="n">
        <f aca="false">SUMIFS('Journey log'!$F$6:$F$505,'Journey log'!$P$6:$P$505,9,'Journey log'!$H$6:$H$505,"Car or van")</f>
        <v>0</v>
      </c>
      <c r="F14" s="26" t="n">
        <f aca="false">SUMIFS('Journey log'!$K$6:$K$505,'Journey log'!$P$6:$P$505,9)</f>
        <v>0</v>
      </c>
      <c r="G14" s="26" t="n">
        <f aca="false">SUMIFS('Journey log'!$L$6:$L$505,'Journey log'!$P$6:$P$505,9)</f>
        <v>0</v>
      </c>
      <c r="H14" s="26" t="n">
        <f aca="false">G14-F14</f>
        <v>0</v>
      </c>
    </row>
    <row r="15" customFormat="false" ht="15" hidden="false" customHeight="false" outlineLevel="0" collapsed="false">
      <c r="B15" s="24" t="str">
        <f aca="false">IF(10=1,TEXT('Start here'!$C$9,"mmmm yyyy")&amp;" (from 6th)",IF(10=13,TEXT('Start here'!$C$10,"mmmm yyyy")&amp;" (1st to 5th)",TEXT(EDATE('Start here'!$C$9,9),"mmmm yyyy")))</f>
        <v>January 2027</v>
      </c>
      <c r="C15" s="32" t="n">
        <f aca="false">COUNTIFS('Journey log'!$P$6:$P$505,10,'Journey log'!$F$6:$F$505,"&gt;0")</f>
        <v>0</v>
      </c>
      <c r="D15" s="33" t="n">
        <f aca="false">SUMIFS('Journey log'!$F$6:$F$505,'Journey log'!$P$6:$P$505,10)</f>
        <v>0</v>
      </c>
      <c r="E15" s="33" t="n">
        <f aca="false">SUMIFS('Journey log'!$F$6:$F$505,'Journey log'!$P$6:$P$505,10,'Journey log'!$H$6:$H$505,"Car or van")</f>
        <v>0</v>
      </c>
      <c r="F15" s="26" t="n">
        <f aca="false">SUMIFS('Journey log'!$K$6:$K$505,'Journey log'!$P$6:$P$505,10)</f>
        <v>0</v>
      </c>
      <c r="G15" s="26" t="n">
        <f aca="false">SUMIFS('Journey log'!$L$6:$L$505,'Journey log'!$P$6:$P$505,10)</f>
        <v>0</v>
      </c>
      <c r="H15" s="26" t="n">
        <f aca="false">G15-F15</f>
        <v>0</v>
      </c>
    </row>
    <row r="16" customFormat="false" ht="15" hidden="false" customHeight="false" outlineLevel="0" collapsed="false">
      <c r="B16" s="24" t="str">
        <f aca="false">IF(11=1,TEXT('Start here'!$C$9,"mmmm yyyy")&amp;" (from 6th)",IF(11=13,TEXT('Start here'!$C$10,"mmmm yyyy")&amp;" (1st to 5th)",TEXT(EDATE('Start here'!$C$9,10),"mmmm yyyy")))</f>
        <v>February 2027</v>
      </c>
      <c r="C16" s="32" t="n">
        <f aca="false">COUNTIFS('Journey log'!$P$6:$P$505,11,'Journey log'!$F$6:$F$505,"&gt;0")</f>
        <v>0</v>
      </c>
      <c r="D16" s="33" t="n">
        <f aca="false">SUMIFS('Journey log'!$F$6:$F$505,'Journey log'!$P$6:$P$505,11)</f>
        <v>0</v>
      </c>
      <c r="E16" s="33" t="n">
        <f aca="false">SUMIFS('Journey log'!$F$6:$F$505,'Journey log'!$P$6:$P$505,11,'Journey log'!$H$6:$H$505,"Car or van")</f>
        <v>0</v>
      </c>
      <c r="F16" s="26" t="n">
        <f aca="false">SUMIFS('Journey log'!$K$6:$K$505,'Journey log'!$P$6:$P$505,11)</f>
        <v>0</v>
      </c>
      <c r="G16" s="26" t="n">
        <f aca="false">SUMIFS('Journey log'!$L$6:$L$505,'Journey log'!$P$6:$P$505,11)</f>
        <v>0</v>
      </c>
      <c r="H16" s="26" t="n">
        <f aca="false">G16-F16</f>
        <v>0</v>
      </c>
    </row>
    <row r="17" customFormat="false" ht="15" hidden="false" customHeight="false" outlineLevel="0" collapsed="false">
      <c r="B17" s="24" t="str">
        <f aca="false">IF(12=1,TEXT('Start here'!$C$9,"mmmm yyyy")&amp;" (from 6th)",IF(12=13,TEXT('Start here'!$C$10,"mmmm yyyy")&amp;" (1st to 5th)",TEXT(EDATE('Start here'!$C$9,11),"mmmm yyyy")))</f>
        <v>March 2027</v>
      </c>
      <c r="C17" s="32" t="n">
        <f aca="false">COUNTIFS('Journey log'!$P$6:$P$505,12,'Journey log'!$F$6:$F$505,"&gt;0")</f>
        <v>0</v>
      </c>
      <c r="D17" s="33" t="n">
        <f aca="false">SUMIFS('Journey log'!$F$6:$F$505,'Journey log'!$P$6:$P$505,12)</f>
        <v>0</v>
      </c>
      <c r="E17" s="33" t="n">
        <f aca="false">SUMIFS('Journey log'!$F$6:$F$505,'Journey log'!$P$6:$P$505,12,'Journey log'!$H$6:$H$505,"Car or van")</f>
        <v>0</v>
      </c>
      <c r="F17" s="26" t="n">
        <f aca="false">SUMIFS('Journey log'!$K$6:$K$505,'Journey log'!$P$6:$P$505,12)</f>
        <v>0</v>
      </c>
      <c r="G17" s="26" t="n">
        <f aca="false">SUMIFS('Journey log'!$L$6:$L$505,'Journey log'!$P$6:$P$505,12)</f>
        <v>0</v>
      </c>
      <c r="H17" s="26" t="n">
        <f aca="false">G17-F17</f>
        <v>0</v>
      </c>
    </row>
    <row r="18" customFormat="false" ht="15" hidden="false" customHeight="false" outlineLevel="0" collapsed="false">
      <c r="B18" s="24" t="str">
        <f aca="false">IF(13=1,TEXT('Start here'!$C$9,"mmmm yyyy")&amp;" (from 6th)",IF(13=13,TEXT('Start here'!$C$10,"mmmm yyyy")&amp;" (1st to 5th)",TEXT(EDATE('Start here'!$C$9,12),"mmmm yyyy")))</f>
        <v>April 2027 (1st to 5th)</v>
      </c>
      <c r="C18" s="32" t="n">
        <f aca="false">COUNTIFS('Journey log'!$P$6:$P$505,13,'Journey log'!$F$6:$F$505,"&gt;0")</f>
        <v>0</v>
      </c>
      <c r="D18" s="33" t="n">
        <f aca="false">SUMIFS('Journey log'!$F$6:$F$505,'Journey log'!$P$6:$P$505,13)</f>
        <v>0</v>
      </c>
      <c r="E18" s="33" t="n">
        <f aca="false">SUMIFS('Journey log'!$F$6:$F$505,'Journey log'!$P$6:$P$505,13,'Journey log'!$H$6:$H$505,"Car or van")</f>
        <v>0</v>
      </c>
      <c r="F18" s="26" t="n">
        <f aca="false">SUMIFS('Journey log'!$K$6:$K$505,'Journey log'!$P$6:$P$505,13)</f>
        <v>0</v>
      </c>
      <c r="G18" s="26" t="n">
        <f aca="false">SUMIFS('Journey log'!$L$6:$L$505,'Journey log'!$P$6:$P$505,13)</f>
        <v>0</v>
      </c>
      <c r="H18" s="26" t="n">
        <f aca="false">G18-F18</f>
        <v>0</v>
      </c>
    </row>
    <row r="19" customFormat="false" ht="15" hidden="false" customHeight="false" outlineLevel="0" collapsed="false">
      <c r="B19" s="14" t="s">
        <v>88</v>
      </c>
      <c r="C19" s="34" t="n">
        <f aca="false">SUM(C6:C18)</f>
        <v>0</v>
      </c>
      <c r="D19" s="29" t="n">
        <f aca="false">SUM(D6:D18)</f>
        <v>0</v>
      </c>
      <c r="E19" s="29" t="n">
        <f aca="false">SUM(E6:E18)</f>
        <v>0</v>
      </c>
      <c r="F19" s="30" t="n">
        <f aca="false">SUM(F6:F18)</f>
        <v>0</v>
      </c>
      <c r="G19" s="30" t="n">
        <f aca="false">SUM(G6:G18)</f>
        <v>0</v>
      </c>
      <c r="H19" s="30" t="n">
        <f aca="false">SUM(H6:H18)</f>
        <v>0</v>
      </c>
    </row>
    <row r="21" customFormat="false" ht="25.5" hidden="false" customHeight="true" outlineLevel="0" collapsed="false">
      <c r="B21" s="9" t="s">
        <v>89</v>
      </c>
      <c r="C21" s="9"/>
      <c r="D21" s="9"/>
      <c r="E21" s="9"/>
      <c r="F21" s="9"/>
      <c r="G21" s="9"/>
      <c r="H21" s="9"/>
    </row>
    <row r="23" customFormat="false" ht="42" hidden="false" customHeight="true" outlineLevel="0" collapsed="false">
      <c r="A23" s="15" t="s">
        <v>43</v>
      </c>
      <c r="B23" s="15"/>
      <c r="C23" s="15"/>
      <c r="D23" s="15"/>
      <c r="E23" s="15"/>
      <c r="F23" s="15"/>
      <c r="G23" s="15"/>
      <c r="H23" s="15"/>
    </row>
    <row r="24" customFormat="false" ht="15" hidden="false" customHeight="false" outlineLevel="0" collapsed="false">
      <c r="A24" s="16" t="s">
        <v>44</v>
      </c>
    </row>
    <row r="25" customFormat="false" ht="15" hidden="false" customHeight="false" outlineLevel="0" collapsed="false">
      <c r="A25" s="16" t="s">
        <v>45</v>
      </c>
    </row>
    <row r="26" customFormat="false" ht="15" hidden="false" customHeight="false" outlineLevel="0" collapsed="false">
      <c r="A26" s="16" t="s">
        <v>46</v>
      </c>
    </row>
    <row r="27" customFormat="false" ht="15" hidden="false" customHeight="false" outlineLevel="0" collapsed="false">
      <c r="A27" s="2" t="s">
        <v>47</v>
      </c>
    </row>
    <row r="28" customFormat="false" ht="15" hidden="false" customHeight="false" outlineLevel="0" collapsed="false">
      <c r="A28" s="17" t="s">
        <v>48</v>
      </c>
      <c r="B28" s="17"/>
      <c r="C28" s="17"/>
      <c r="D28" s="17"/>
      <c r="E28" s="17"/>
      <c r="F28" s="17"/>
      <c r="G28" s="17"/>
      <c r="H28" s="17"/>
    </row>
  </sheetData>
  <sheetProtection sheet="true" formatCells="false" formatColumns="false" formatRows="false" sort="false" autoFilter="false"/>
  <mergeCells count="3">
    <mergeCell ref="B21:H21"/>
    <mergeCell ref="A23:H23"/>
    <mergeCell ref="A28:H28"/>
  </mergeCells>
  <hyperlinks>
    <hyperlink ref="A24" r:id="rId1" display="Book a free 30-minute consultation"/>
    <hyperlink ref="A25" r:id="rId2" display="Get a fee estimate in 2 minutes"/>
    <hyperlink ref="A26" r:id="rId3" display="Call 0161 327 0047"/>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3" min="3" style="0" width="18"/>
    <col collapsed="false" customWidth="true" hidden="false" outlineLevel="0" max="4" min="4" style="0" width="60"/>
  </cols>
  <sheetData>
    <row r="1" customFormat="false" ht="19.7" hidden="false" customHeight="false" outlineLevel="0" collapsed="false">
      <c r="A1" s="1" t="s">
        <v>90</v>
      </c>
    </row>
    <row r="2" customFormat="false" ht="15" hidden="false" customHeight="false" outlineLevel="0" collapsed="false">
      <c r="A2" s="2" t="s">
        <v>91</v>
      </c>
    </row>
    <row r="3" customFormat="false" ht="15" hidden="false" customHeight="false" outlineLevel="0" collapsed="false">
      <c r="B3" s="14" t="str">
        <f aca="false">"Tax year "&amp;'Start here'!C8&amp;IF('Start here'!C6="",""," · "&amp;'Start here'!C6)</f>
        <v>Tax year 2026/27</v>
      </c>
    </row>
    <row r="5" customFormat="false" ht="15" hidden="false" customHeight="false" outlineLevel="0" collapsed="false">
      <c r="B5" s="35" t="s">
        <v>92</v>
      </c>
      <c r="C5" s="36" t="n">
        <f aca="false">SUM('Journey log'!$F$6:$F$505)</f>
        <v>0</v>
      </c>
      <c r="D5" s="2"/>
    </row>
    <row r="6" customFormat="false" ht="15" hidden="false" customHeight="false" outlineLevel="0" collapsed="false">
      <c r="B6" s="35" t="s">
        <v>93</v>
      </c>
      <c r="C6" s="36" t="n">
        <f aca="false">SUMIFS('Journey log'!$F$6:$F$505,'Journey log'!$H$6:$H$505,"Car or van")</f>
        <v>0</v>
      </c>
      <c r="D6" s="2" t="s">
        <v>94</v>
      </c>
    </row>
    <row r="7" customFormat="false" ht="15" hidden="false" customHeight="false" outlineLevel="0" collapsed="false">
      <c r="B7" s="35" t="s">
        <v>95</v>
      </c>
      <c r="C7" s="36" t="n">
        <f aca="false">SUM('Journey log'!$N$6:$N$505)</f>
        <v>0</v>
      </c>
      <c r="D7" s="2"/>
    </row>
    <row r="8" customFormat="false" ht="15" hidden="false" customHeight="false" outlineLevel="0" collapsed="false">
      <c r="B8" s="35" t="s">
        <v>96</v>
      </c>
      <c r="C8" s="36" t="n">
        <f aca="false">SUM('Journey log'!$O$6:$O$505)</f>
        <v>0</v>
      </c>
      <c r="D8" s="2" t="s">
        <v>97</v>
      </c>
    </row>
    <row r="9" customFormat="false" ht="15" hidden="false" customHeight="false" outlineLevel="0" collapsed="false">
      <c r="B9" s="35" t="s">
        <v>98</v>
      </c>
      <c r="C9" s="26" t="n">
        <f aca="false">SUM('Journey log'!$K$6:$K$505)-C10</f>
        <v>0</v>
      </c>
      <c r="D9" s="2" t="s">
        <v>99</v>
      </c>
    </row>
    <row r="10" customFormat="false" ht="15" hidden="false" customHeight="false" outlineLevel="0" collapsed="false">
      <c r="B10" s="35" t="s">
        <v>100</v>
      </c>
      <c r="C10" s="26" t="n">
        <f aca="false">SUMPRODUCT(('Journey log'!$H$6:$H$505="Car or van")*'Journey log'!$G$6:$G$505*'Journey log'!$F$6:$F$505)*INDEX('Notes and sources'!$C$10:$D$10,1,'Start here'!$C$11)</f>
        <v>0</v>
      </c>
      <c r="D10" s="2" t="s">
        <v>101</v>
      </c>
    </row>
    <row r="11" customFormat="false" ht="15" hidden="false" customHeight="false" outlineLevel="0" collapsed="false">
      <c r="B11" s="35" t="s">
        <v>102</v>
      </c>
      <c r="C11" s="30" t="n">
        <f aca="false">C9+C10</f>
        <v>0</v>
      </c>
      <c r="D11" s="2"/>
    </row>
    <row r="12" customFormat="false" ht="15" hidden="false" customHeight="false" outlineLevel="0" collapsed="false">
      <c r="B12" s="35" t="s">
        <v>103</v>
      </c>
      <c r="C12" s="26" t="n">
        <f aca="false">SUM('Journey log'!$L$6:$L$505)</f>
        <v>0</v>
      </c>
      <c r="D12" s="2" t="s">
        <v>104</v>
      </c>
    </row>
    <row r="13" customFormat="false" ht="15" hidden="false" customHeight="false" outlineLevel="0" collapsed="false">
      <c r="B13" s="35" t="s">
        <v>105</v>
      </c>
      <c r="C13" s="30" t="n">
        <f aca="false">C12-C11</f>
        <v>0</v>
      </c>
      <c r="D13" s="2"/>
    </row>
    <row r="15" customFormat="false" ht="15" hidden="false" customHeight="false" outlineLevel="0" collapsed="false">
      <c r="B15" s="4" t="s">
        <v>106</v>
      </c>
    </row>
    <row r="16" customFormat="false" ht="37.5" hidden="false" customHeight="true" outlineLevel="0" collapsed="false">
      <c r="B16" s="37" t="s">
        <v>107</v>
      </c>
      <c r="C16" s="30" t="n">
        <f aca="false">MAX(0,C9-C12)</f>
        <v>0</v>
      </c>
      <c r="D16" s="38" t="s">
        <v>108</v>
      </c>
    </row>
    <row r="17" customFormat="false" ht="37.5" hidden="false" customHeight="true" outlineLevel="0" collapsed="false">
      <c r="B17" s="37" t="s">
        <v>109</v>
      </c>
      <c r="C17" s="30" t="n">
        <f aca="false">MAX(0,C12-C11)</f>
        <v>0</v>
      </c>
      <c r="D17" s="38" t="s">
        <v>110</v>
      </c>
    </row>
    <row r="18" customFormat="false" ht="37.5" hidden="false" customHeight="true" outlineLevel="0" collapsed="false">
      <c r="B18" s="35" t="s">
        <v>111</v>
      </c>
      <c r="C18" s="26" t="n">
        <f aca="false">C6*INDEX('Notes and sources'!$C$11:$D$11,1,'Start here'!$C$11)+SUMIFS('Journey log'!$K$6:$K$505,'Journey log'!$H$6:$H$505,"Motorcycle")+SUMIFS('Journey log'!$K$6:$K$505,'Journey log'!$H$6:$H$505,"Bicycle")+C10</f>
        <v>0</v>
      </c>
      <c r="D18" s="38" t="s">
        <v>112</v>
      </c>
    </row>
    <row r="20" customFormat="false" ht="15" hidden="false" customHeight="false" outlineLevel="0" collapsed="false">
      <c r="B20" s="17" t="s">
        <v>113</v>
      </c>
      <c r="C20" s="17"/>
      <c r="D20" s="17"/>
    </row>
    <row r="22" customFormat="false" ht="42" hidden="false" customHeight="true" outlineLevel="0" collapsed="false">
      <c r="A22" s="15" t="s">
        <v>43</v>
      </c>
      <c r="B22" s="15"/>
      <c r="C22" s="15"/>
      <c r="D22" s="15"/>
    </row>
    <row r="23" customFormat="false" ht="15" hidden="false" customHeight="false" outlineLevel="0" collapsed="false">
      <c r="A23" s="16" t="s">
        <v>44</v>
      </c>
    </row>
    <row r="24" customFormat="false" ht="15" hidden="false" customHeight="false" outlineLevel="0" collapsed="false">
      <c r="A24" s="16" t="s">
        <v>45</v>
      </c>
    </row>
    <row r="25" customFormat="false" ht="15" hidden="false" customHeight="false" outlineLevel="0" collapsed="false">
      <c r="A25" s="16" t="s">
        <v>46</v>
      </c>
    </row>
    <row r="26" customFormat="false" ht="15" hidden="false" customHeight="false" outlineLevel="0" collapsed="false">
      <c r="A26" s="2" t="s">
        <v>47</v>
      </c>
    </row>
    <row r="27" customFormat="false" ht="15" hidden="false" customHeight="false" outlineLevel="0" collapsed="false">
      <c r="A27" s="17" t="s">
        <v>48</v>
      </c>
      <c r="B27" s="17"/>
      <c r="C27" s="17"/>
      <c r="D27" s="17"/>
    </row>
  </sheetData>
  <sheetProtection sheet="true" formatCells="false" formatColumns="false" formatRows="false" sort="false" autoFilter="false"/>
  <mergeCells count="3">
    <mergeCell ref="B20:D20"/>
    <mergeCell ref="A22:D22"/>
    <mergeCell ref="A27:D27"/>
  </mergeCells>
  <hyperlinks>
    <hyperlink ref="A23" r:id="rId1" display="Book a free 30-minute consultation"/>
    <hyperlink ref="A24" r:id="rId2" display="Get a fee estimate in 2 minutes"/>
    <hyperlink ref="A25" r:id="rId3" display="Call 0161 327 0047"/>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6"/>
    <col collapsed="false" customWidth="true" hidden="false" outlineLevel="0" max="4" min="3" style="0" width="11"/>
    <col collapsed="false" customWidth="true" hidden="false" outlineLevel="0" max="5" min="5" style="0" width="58"/>
    <col collapsed="false" customWidth="true" hidden="false" outlineLevel="0" max="6" min="6" style="0" width="16"/>
    <col collapsed="false" customWidth="true" hidden="false" outlineLevel="0" max="7" min="7" style="0" width="52"/>
  </cols>
  <sheetData>
    <row r="1" customFormat="false" ht="19.7" hidden="false" customHeight="false" outlineLevel="0" collapsed="false">
      <c r="A1" s="1" t="s">
        <v>114</v>
      </c>
    </row>
    <row r="2" customFormat="false" ht="15" hidden="false" customHeight="false" outlineLevel="0" collapsed="false">
      <c r="A2" s="2" t="s">
        <v>115</v>
      </c>
    </row>
    <row r="5" customFormat="false" ht="15" hidden="false" customHeight="false" outlineLevel="0" collapsed="false">
      <c r="B5" s="8" t="s">
        <v>116</v>
      </c>
      <c r="C5" s="8" t="s">
        <v>7</v>
      </c>
      <c r="D5" s="8" t="s">
        <v>117</v>
      </c>
      <c r="E5" s="8" t="s">
        <v>118</v>
      </c>
      <c r="F5" s="8" t="s">
        <v>119</v>
      </c>
      <c r="G5" s="8" t="s">
        <v>120</v>
      </c>
    </row>
    <row r="6" customFormat="false" ht="39.75" hidden="false" customHeight="true" outlineLevel="0" collapsed="false">
      <c r="B6" s="39" t="s">
        <v>121</v>
      </c>
      <c r="C6" s="40" t="n">
        <v>0.55</v>
      </c>
      <c r="D6" s="40" t="n">
        <v>0.55</v>
      </c>
      <c r="E6" s="41" t="s">
        <v>122</v>
      </c>
      <c r="F6" s="35" t="s">
        <v>123</v>
      </c>
      <c r="G6" s="42" t="s">
        <v>124</v>
      </c>
    </row>
    <row r="7" customFormat="false" ht="39.75" hidden="false" customHeight="true" outlineLevel="0" collapsed="false">
      <c r="B7" s="39" t="s">
        <v>125</v>
      </c>
      <c r="C7" s="40" t="n">
        <v>0.25</v>
      </c>
      <c r="D7" s="40" t="n">
        <v>0.35</v>
      </c>
      <c r="E7" s="41" t="s">
        <v>126</v>
      </c>
      <c r="F7" s="35" t="s">
        <v>123</v>
      </c>
      <c r="G7" s="42" t="s">
        <v>127</v>
      </c>
    </row>
    <row r="8" customFormat="false" ht="39.75" hidden="false" customHeight="true" outlineLevel="0" collapsed="false">
      <c r="B8" s="39" t="s">
        <v>128</v>
      </c>
      <c r="C8" s="40" t="n">
        <v>0.24</v>
      </c>
      <c r="D8" s="40" t="n">
        <v>0.24</v>
      </c>
      <c r="E8" s="41" t="s">
        <v>122</v>
      </c>
      <c r="F8" s="35" t="s">
        <v>123</v>
      </c>
      <c r="G8" s="42" t="s">
        <v>129</v>
      </c>
    </row>
    <row r="9" customFormat="false" ht="39.75" hidden="false" customHeight="true" outlineLevel="0" collapsed="false">
      <c r="B9" s="39" t="s">
        <v>130</v>
      </c>
      <c r="C9" s="40" t="n">
        <v>0.2</v>
      </c>
      <c r="D9" s="40" t="n">
        <v>0.2</v>
      </c>
      <c r="E9" s="41" t="s">
        <v>122</v>
      </c>
      <c r="F9" s="35" t="s">
        <v>123</v>
      </c>
      <c r="G9" s="42" t="s">
        <v>129</v>
      </c>
    </row>
    <row r="10" customFormat="false" ht="39.75" hidden="false" customHeight="true" outlineLevel="0" collapsed="false">
      <c r="B10" s="39" t="s">
        <v>131</v>
      </c>
      <c r="C10" s="40" t="n">
        <v>0.05</v>
      </c>
      <c r="D10" s="40" t="n">
        <v>0.05</v>
      </c>
      <c r="E10" s="41" t="s">
        <v>132</v>
      </c>
      <c r="F10" s="35" t="s">
        <v>123</v>
      </c>
      <c r="G10" s="42" t="s">
        <v>133</v>
      </c>
    </row>
    <row r="11" customFormat="false" ht="39.75" hidden="false" customHeight="true" outlineLevel="0" collapsed="false">
      <c r="B11" s="39" t="s">
        <v>134</v>
      </c>
      <c r="C11" s="40" t="n">
        <v>0.55</v>
      </c>
      <c r="D11" s="40" t="n">
        <v>0.55</v>
      </c>
      <c r="E11" s="41" t="s">
        <v>135</v>
      </c>
      <c r="F11" s="35" t="s">
        <v>123</v>
      </c>
      <c r="G11" s="42" t="s">
        <v>136</v>
      </c>
    </row>
    <row r="12" customFormat="false" ht="39.75" hidden="false" customHeight="true" outlineLevel="0" collapsed="false">
      <c r="B12" s="39" t="s">
        <v>137</v>
      </c>
      <c r="C12" s="43" t="n">
        <v>10000</v>
      </c>
      <c r="D12" s="43" t="n">
        <v>10000</v>
      </c>
      <c r="E12" s="41" t="s">
        <v>122</v>
      </c>
      <c r="F12" s="35" t="s">
        <v>123</v>
      </c>
      <c r="G12" s="42" t="s">
        <v>138</v>
      </c>
    </row>
    <row r="14" customFormat="false" ht="15" hidden="false" customHeight="false" outlineLevel="0" collapsed="false">
      <c r="B14" s="4" t="s">
        <v>139</v>
      </c>
    </row>
    <row r="15" customFormat="false" ht="15" hidden="false" customHeight="false" outlineLevel="0" collapsed="false">
      <c r="B15" s="44" t="s">
        <v>140</v>
      </c>
    </row>
    <row r="16" customFormat="false" ht="15" hidden="false" customHeight="false" outlineLevel="0" collapsed="false">
      <c r="B16" s="44" t="s">
        <v>141</v>
      </c>
    </row>
    <row r="17" customFormat="false" ht="15" hidden="false" customHeight="false" outlineLevel="0" collapsed="false">
      <c r="B17" s="44" t="s">
        <v>142</v>
      </c>
    </row>
    <row r="18" customFormat="false" ht="15" hidden="false" customHeight="false" outlineLevel="0" collapsed="false">
      <c r="B18" s="44" t="s">
        <v>143</v>
      </c>
    </row>
    <row r="19" customFormat="false" ht="15" hidden="false" customHeight="false" outlineLevel="0" collapsed="false">
      <c r="B19" s="44" t="s">
        <v>144</v>
      </c>
    </row>
    <row r="20" customFormat="false" ht="15" hidden="false" customHeight="false" outlineLevel="0" collapsed="false">
      <c r="B20" s="44" t="s">
        <v>145</v>
      </c>
    </row>
    <row r="21" customFormat="false" ht="15" hidden="false" customHeight="false" outlineLevel="0" collapsed="false">
      <c r="B21" s="44" t="s">
        <v>146</v>
      </c>
    </row>
    <row r="23" customFormat="false" ht="15" hidden="false" customHeight="false" outlineLevel="0" collapsed="false">
      <c r="B23" s="14" t="s">
        <v>147</v>
      </c>
    </row>
    <row r="24" customFormat="false" ht="15" hidden="false" customHeight="false" outlineLevel="0" collapsed="false">
      <c r="B24" s="2" t="s">
        <v>148</v>
      </c>
    </row>
    <row r="25" customFormat="false" ht="15" hidden="false" customHeight="false" outlineLevel="0" collapsed="false">
      <c r="B25" s="2" t="s">
        <v>149</v>
      </c>
    </row>
    <row r="27" customFormat="false" ht="42" hidden="false" customHeight="true" outlineLevel="0" collapsed="false">
      <c r="A27" s="15" t="s">
        <v>43</v>
      </c>
      <c r="B27" s="15"/>
      <c r="C27" s="15"/>
      <c r="D27" s="15"/>
      <c r="E27" s="15"/>
      <c r="F27" s="15"/>
      <c r="G27" s="15"/>
    </row>
    <row r="28" customFormat="false" ht="15" hidden="false" customHeight="false" outlineLevel="0" collapsed="false">
      <c r="A28" s="16" t="s">
        <v>44</v>
      </c>
    </row>
    <row r="29" customFormat="false" ht="15" hidden="false" customHeight="false" outlineLevel="0" collapsed="false">
      <c r="A29" s="16" t="s">
        <v>45</v>
      </c>
    </row>
    <row r="30" customFormat="false" ht="15" hidden="false" customHeight="false" outlineLevel="0" collapsed="false">
      <c r="A30" s="16" t="s">
        <v>46</v>
      </c>
    </row>
    <row r="31" customFormat="false" ht="15" hidden="false" customHeight="false" outlineLevel="0" collapsed="false">
      <c r="A31" s="2" t="s">
        <v>47</v>
      </c>
    </row>
    <row r="32" customFormat="false" ht="15" hidden="false" customHeight="false" outlineLevel="0" collapsed="false">
      <c r="A32" s="17" t="s">
        <v>48</v>
      </c>
      <c r="B32" s="17"/>
      <c r="C32" s="17"/>
      <c r="D32" s="17"/>
      <c r="E32" s="17"/>
      <c r="F32" s="17"/>
      <c r="G32" s="17"/>
    </row>
  </sheetData>
  <sheetProtection sheet="true" formatCells="false" formatColumns="false" formatRows="false" sort="false" autoFilter="false"/>
  <mergeCells count="2">
    <mergeCell ref="A27:G27"/>
    <mergeCell ref="A32:G32"/>
  </mergeCells>
  <hyperlinks>
    <hyperlink ref="E6" r:id="rId1" display="https://www.gov.uk/government/publications/rates-and-allowances-travel-mileage-and-fuel-allowances/travel-mileage-and-fuel-rates-and-allowances"/>
    <hyperlink ref="E7" r:id="rId2" display="https://www.gov.uk/government/publications/budget-2026-overview-of-tax-legislation-and-rates-ootlar/budget-2026-overview-of-tax-legislation-and-rates-ootlar"/>
    <hyperlink ref="E8" r:id="rId3" display="https://www.gov.uk/government/publications/rates-and-allowances-travel-mileage-and-fuel-allowances/travel-mileage-and-fuel-rates-and-allowances"/>
    <hyperlink ref="E9" r:id="rId4" display="https://www.gov.uk/government/publications/rates-and-allowances-travel-mileage-and-fuel-allowances/travel-mileage-and-fuel-rates-and-allowances"/>
    <hyperlink ref="E10" r:id="rId5" display="https://www.gov.uk/expenses-and-benefits-business-travel-mileage"/>
    <hyperlink ref="E11" r:id="rId6" display="https://www.gov.uk/guidance/national-insurance-contributions-and-employee-travel-expenses-490-chapter-6"/>
    <hyperlink ref="E12" r:id="rId7" display="https://www.gov.uk/government/publications/rates-and-allowances-travel-mileage-and-fuel-allowances/travel-mileage-and-fuel-rates-and-allowances"/>
    <hyperlink ref="B15" r:id="rId8" display="Expenses and benefits: business travel mileage for employees' own vehicles"/>
    <hyperlink ref="B16" r:id="rId9" display="Claim tax relief for your job expenses: vehicles you use for work (Mileage Allowance Relief)"/>
    <hyperlink ref="B17" r:id="rId10" display="HMRC Employment Income Manual EIM31330: Mileage Allowance Relief outline"/>
    <hyperlink ref="B18" r:id="rId11" display="HMRC 490: employee travel, a tax and National Insurance guide for employers"/>
    <hyperlink ref="B19" r:id="rId12" display="Travel: mileage and fuel rates and allowances"/>
    <hyperlink ref="B20" r:id="rId13" display="Taxation (Energy and Vehicles) Act 2026 (55p rate from 2026/27)"/>
    <hyperlink ref="B21" r:id="rId14" display="Budget 2026: overview of tax legislation and rates (35p from April 2027)"/>
    <hyperlink ref="A28" r:id="rId15" display="Book a free 30-minute consultation"/>
    <hyperlink ref="A29" r:id="rId16" display="Get a fee estimate in 2 minutes"/>
    <hyperlink ref="A30" r:id="rId17" display="Call 0161 327 0047"/>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4" min="3" style="0" width="18"/>
    <col collapsed="false" customWidth="true" hidden="false" outlineLevel="0" max="5" min="5" style="0" width="30"/>
    <col collapsed="false" customWidth="true" hidden="false" outlineLevel="0" max="7" min="6" style="0" width="11"/>
    <col collapsed="false" customWidth="true" hidden="false" outlineLevel="0" max="12" min="8" style="0" width="13"/>
    <col collapsed="false" customWidth="true" hidden="false" outlineLevel="0" max="13" min="13" style="0" width="3"/>
    <col collapsed="false" customWidth="true" hidden="true" outlineLevel="0" max="16" min="14" style="0" width="12"/>
    <col collapsed="false" customWidth="true" hidden="false" outlineLevel="0" max="17" min="17" style="0" width="3"/>
    <col collapsed="false" customWidth="true" hidden="false" outlineLevel="0" max="18" min="18" style="0" width="42"/>
    <col collapsed="false" customWidth="true" hidden="false" outlineLevel="0" max="19" min="19" style="0" width="22"/>
  </cols>
  <sheetData>
    <row r="1" customFormat="false" ht="19.7" hidden="false" customHeight="false" outlineLevel="0" collapsed="false">
      <c r="A1" s="1" t="s">
        <v>150</v>
      </c>
    </row>
    <row r="2" customFormat="false" ht="15" hidden="false" customHeight="false" outlineLevel="0" collapsed="false">
      <c r="A2" s="2" t="s">
        <v>151</v>
      </c>
    </row>
    <row r="3" customFormat="false" ht="15" hidden="false" customHeight="false" outlineLevel="0" collapsed="false">
      <c r="A3" s="14" t="s">
        <v>152</v>
      </c>
      <c r="C3" s="6" t="s">
        <v>7</v>
      </c>
    </row>
    <row r="5" customFormat="false" ht="42" hidden="false" customHeight="true" outlineLevel="0" collapsed="false">
      <c r="A5" s="18" t="s">
        <v>51</v>
      </c>
      <c r="B5" s="18" t="s">
        <v>58</v>
      </c>
      <c r="C5" s="18" t="s">
        <v>53</v>
      </c>
      <c r="D5" s="18" t="s">
        <v>54</v>
      </c>
      <c r="E5" s="18" t="s">
        <v>55</v>
      </c>
      <c r="F5" s="18" t="s">
        <v>56</v>
      </c>
      <c r="G5" s="18" t="s">
        <v>57</v>
      </c>
      <c r="H5" s="18" t="s">
        <v>58</v>
      </c>
      <c r="I5" s="18" t="s">
        <v>59</v>
      </c>
      <c r="J5" s="18" t="s">
        <v>60</v>
      </c>
      <c r="K5" s="18" t="s">
        <v>61</v>
      </c>
      <c r="L5" s="18" t="s">
        <v>62</v>
      </c>
      <c r="N5" s="2" t="s">
        <v>63</v>
      </c>
      <c r="O5" s="2" t="s">
        <v>64</v>
      </c>
      <c r="P5" s="2" t="s">
        <v>65</v>
      </c>
      <c r="R5" s="19" t="s">
        <v>66</v>
      </c>
      <c r="S5" s="20"/>
    </row>
    <row r="6" customFormat="false" ht="15" hidden="false" customHeight="false" outlineLevel="0" collapsed="false">
      <c r="A6" s="21" t="n">
        <v>46126</v>
      </c>
      <c r="B6" s="6" t="s">
        <v>153</v>
      </c>
      <c r="C6" s="6" t="s">
        <v>154</v>
      </c>
      <c r="D6" s="6" t="s">
        <v>155</v>
      </c>
      <c r="E6" s="6" t="s">
        <v>156</v>
      </c>
      <c r="F6" s="22" t="n">
        <v>18.4</v>
      </c>
      <c r="G6" s="23" t="n">
        <v>0</v>
      </c>
      <c r="H6" s="24" t="str">
        <f aca="false">IF(B6="","",B6)</f>
        <v>Car or van</v>
      </c>
      <c r="I6" s="25" t="n">
        <f aca="false">IF(OR(F6="",H6&lt;&gt;"Car or van"),"",SUMIFS($F$6:F6,$H$6:H6,"Car or van"))</f>
        <v>18.4</v>
      </c>
      <c r="J6" s="24" t="str">
        <f aca="false">IF(F6="","",IF(H6="Car or van",IF(O6=0,TEXT(INDEX('Notes and sources'!$C$6:$D$6,1,IF($C$3="2027/28",2,1))*100,"0")&amp;"p",IF(N6=0,TEXT(INDEX('Notes and sources'!$C$7:$D$7,1,IF($C$3="2027/28",2,1))*100,"0")&amp;"p",TEXT(INDEX('Notes and sources'!$C$6:$D$6,1,IF($C$3="2027/28",2,1))*100,"0")&amp;"p/"&amp;TEXT(INDEX('Notes and sources'!$C$7:$D$7,1,IF($C$3="2027/28",2,1))*100,"0")&amp;"p")),IF(H6="Motorcycle",TEXT(INDEX('Notes and sources'!$C$8:$D$8,1,IF($C$3="2027/28",2,1))*100,"0")&amp;"p",IF(H6="Bicycle",TEXT(INDEX('Notes and sources'!$C$9:$D$9,1,IF($C$3="2027/28",2,1))*100,"0")&amp;"p",""))))</f>
        <v>55p</v>
      </c>
      <c r="K6" s="26" t="n">
        <f aca="false">IF(F6="","",ROUND(IF(H6="Car or van",N6*INDEX('Notes and sources'!$C$6:$D$6,1,IF($C$3="2027/28",2,1))+O6*INDEX('Notes and sources'!$C$7:$D$7,1,IF($C$3="2027/28",2,1))+N(G6)*N(F6)*INDEX('Notes and sources'!$C$10:$D$10,1,IF($C$3="2027/28",2,1)),IF(H6="Motorcycle",N(F6)*INDEX('Notes and sources'!$C$8:$D$8,1,IF($C$3="2027/28",2,1)),IF(H6="Bicycle",N(F6)*INDEX('Notes and sources'!$C$9:$D$9,1,IF($C$3="2027/28",2,1)),0))),2))</f>
        <v>10.12</v>
      </c>
      <c r="L6" s="27" t="n">
        <v>10.12</v>
      </c>
      <c r="N6" s="2" t="n">
        <f aca="false">IF(I6="",0,MAX(0,MIN(N(F6),INDEX('Notes and sources'!$C$12:$D$12,1,IF($C$3="2027/28",2,1))-(I6-N(F6)))))</f>
        <v>18.4</v>
      </c>
      <c r="O6" s="2" t="n">
        <f aca="false">IF(I6="",0,N(F6)-N6)</f>
        <v>0</v>
      </c>
      <c r="P6" s="2" t="n">
        <f aca="false">IF(A6="","",IF(AND(MONTH(A6)=4,DAY(A6)&lt;6),13,MOD(MONTH(A6)-4,12)+1))</f>
        <v>1</v>
      </c>
      <c r="R6" s="14" t="s">
        <v>67</v>
      </c>
    </row>
    <row r="7" customFormat="false" ht="15" hidden="false" customHeight="true" outlineLevel="0" collapsed="false">
      <c r="A7" s="21" t="n">
        <v>46144</v>
      </c>
      <c r="B7" s="6" t="s">
        <v>153</v>
      </c>
      <c r="C7" s="6" t="s">
        <v>154</v>
      </c>
      <c r="D7" s="6" t="s">
        <v>157</v>
      </c>
      <c r="E7" s="6" t="s">
        <v>158</v>
      </c>
      <c r="F7" s="22" t="n">
        <v>47.2</v>
      </c>
      <c r="G7" s="23" t="n">
        <v>1</v>
      </c>
      <c r="H7" s="24" t="str">
        <f aca="false">IF(B7="","",B7)</f>
        <v>Car or van</v>
      </c>
      <c r="I7" s="25" t="n">
        <f aca="false">IF(OR(F7="",H7&lt;&gt;"Car or van"),"",SUMIFS($F$6:F7,$H$6:H7,"Car or van"))</f>
        <v>65.6</v>
      </c>
      <c r="J7" s="24" t="str">
        <f aca="false">IF(F7="","",IF(H7="Car or van",IF(O7=0,TEXT(INDEX('Notes and sources'!$C$6:$D$6,1,IF($C$3="2027/28",2,1))*100,"0")&amp;"p",IF(N7=0,TEXT(INDEX('Notes and sources'!$C$7:$D$7,1,IF($C$3="2027/28",2,1))*100,"0")&amp;"p",TEXT(INDEX('Notes and sources'!$C$6:$D$6,1,IF($C$3="2027/28",2,1))*100,"0")&amp;"p/"&amp;TEXT(INDEX('Notes and sources'!$C$7:$D$7,1,IF($C$3="2027/28",2,1))*100,"0")&amp;"p")),IF(H7="Motorcycle",TEXT(INDEX('Notes and sources'!$C$8:$D$8,1,IF($C$3="2027/28",2,1))*100,"0")&amp;"p",IF(H7="Bicycle",TEXT(INDEX('Notes and sources'!$C$9:$D$9,1,IF($C$3="2027/28",2,1))*100,"0")&amp;"p",""))))</f>
        <v>55p</v>
      </c>
      <c r="K7" s="26" t="n">
        <f aca="false">IF(F7="","",ROUND(IF(H7="Car or van",N7*INDEX('Notes and sources'!$C$6:$D$6,1,IF($C$3="2027/28",2,1))+O7*INDEX('Notes and sources'!$C$7:$D$7,1,IF($C$3="2027/28",2,1))+N(G7)*N(F7)*INDEX('Notes and sources'!$C$10:$D$10,1,IF($C$3="2027/28",2,1)),IF(H7="Motorcycle",N(F7)*INDEX('Notes and sources'!$C$8:$D$8,1,IF($C$3="2027/28",2,1)),IF(H7="Bicycle",N(F7)*INDEX('Notes and sources'!$C$9:$D$9,1,IF($C$3="2027/28",2,1)),0))),2))</f>
        <v>28.32</v>
      </c>
      <c r="L7" s="27" t="n">
        <v>28.32</v>
      </c>
      <c r="N7" s="2" t="n">
        <f aca="false">IF(I7="",0,MAX(0,MIN(N(F7),INDEX('Notes and sources'!$C$12:$D$12,1,IF($C$3="2027/28",2,1))-(I7-N(F7)))))</f>
        <v>47.2</v>
      </c>
      <c r="O7" s="2" t="n">
        <f aca="false">IF(I7="",0,N(F7)-N7)</f>
        <v>0</v>
      </c>
      <c r="P7" s="2" t="n">
        <f aca="false">IF(A7="","",IF(AND(MONTH(A7)=4,DAY(A7)&lt;6),13,MOD(MONTH(A7)-4,12)+1))</f>
        <v>2</v>
      </c>
      <c r="R7" s="9" t="s">
        <v>68</v>
      </c>
      <c r="S7" s="9"/>
    </row>
    <row r="8" customFormat="false" ht="15" hidden="false" customHeight="false" outlineLevel="0" collapsed="false">
      <c r="A8" s="21" t="n">
        <v>46192</v>
      </c>
      <c r="B8" s="6" t="s">
        <v>153</v>
      </c>
      <c r="C8" s="6" t="s">
        <v>159</v>
      </c>
      <c r="D8" s="6" t="s">
        <v>160</v>
      </c>
      <c r="E8" s="6" t="s">
        <v>161</v>
      </c>
      <c r="F8" s="22" t="n">
        <v>36</v>
      </c>
      <c r="G8" s="23" t="n">
        <v>0</v>
      </c>
      <c r="H8" s="24" t="str">
        <f aca="false">IF(B8="","",B8)</f>
        <v>Car or van</v>
      </c>
      <c r="I8" s="25" t="n">
        <f aca="false">IF(OR(F8="",H8&lt;&gt;"Car or van"),"",SUMIFS($F$6:F8,$H$6:H8,"Car or van"))</f>
        <v>101.6</v>
      </c>
      <c r="J8" s="24" t="str">
        <f aca="false">IF(F8="","",IF(H8="Car or van",IF(O8=0,TEXT(INDEX('Notes and sources'!$C$6:$D$6,1,IF($C$3="2027/28",2,1))*100,"0")&amp;"p",IF(N8=0,TEXT(INDEX('Notes and sources'!$C$7:$D$7,1,IF($C$3="2027/28",2,1))*100,"0")&amp;"p",TEXT(INDEX('Notes and sources'!$C$6:$D$6,1,IF($C$3="2027/28",2,1))*100,"0")&amp;"p/"&amp;TEXT(INDEX('Notes and sources'!$C$7:$D$7,1,IF($C$3="2027/28",2,1))*100,"0")&amp;"p")),IF(H8="Motorcycle",TEXT(INDEX('Notes and sources'!$C$8:$D$8,1,IF($C$3="2027/28",2,1))*100,"0")&amp;"p",IF(H8="Bicycle",TEXT(INDEX('Notes and sources'!$C$9:$D$9,1,IF($C$3="2027/28",2,1))*100,"0")&amp;"p",""))))</f>
        <v>55p</v>
      </c>
      <c r="K8" s="26" t="n">
        <f aca="false">IF(F8="","",ROUND(IF(H8="Car or van",N8*INDEX('Notes and sources'!$C$6:$D$6,1,IF($C$3="2027/28",2,1))+O8*INDEX('Notes and sources'!$C$7:$D$7,1,IF($C$3="2027/28",2,1))+N(G8)*N(F8)*INDEX('Notes and sources'!$C$10:$D$10,1,IF($C$3="2027/28",2,1)),IF(H8="Motorcycle",N(F8)*INDEX('Notes and sources'!$C$8:$D$8,1,IF($C$3="2027/28",2,1)),IF(H8="Bicycle",N(F8)*INDEX('Notes and sources'!$C$9:$D$9,1,IF($C$3="2027/28",2,1)),0))),2))</f>
        <v>19.8</v>
      </c>
      <c r="L8" s="27" t="n">
        <v>19.8</v>
      </c>
      <c r="N8" s="2" t="n">
        <f aca="false">IF(I8="",0,MAX(0,MIN(N(F8),INDEX('Notes and sources'!$C$12:$D$12,1,IF($C$3="2027/28",2,1))-(I8-N(F8)))))</f>
        <v>36</v>
      </c>
      <c r="O8" s="2" t="n">
        <f aca="false">IF(I8="",0,N(F8)-N8)</f>
        <v>0</v>
      </c>
      <c r="P8" s="2" t="n">
        <f aca="false">IF(A8="","",IF(AND(MONTH(A8)=4,DAY(A8)&lt;6),13,MOD(MONTH(A8)-4,12)+1))</f>
        <v>3</v>
      </c>
      <c r="R8" s="9"/>
      <c r="S8" s="9"/>
    </row>
    <row r="9" customFormat="false" ht="15" hidden="false" customHeight="false" outlineLevel="0" collapsed="false">
      <c r="A9" s="21" t="n">
        <v>46211</v>
      </c>
      <c r="B9" s="6" t="s">
        <v>162</v>
      </c>
      <c r="C9" s="6" t="s">
        <v>159</v>
      </c>
      <c r="D9" s="6" t="s">
        <v>163</v>
      </c>
      <c r="E9" s="6" t="s">
        <v>164</v>
      </c>
      <c r="F9" s="22" t="n">
        <v>2.5</v>
      </c>
      <c r="G9" s="23" t="n">
        <v>0</v>
      </c>
      <c r="H9" s="24" t="str">
        <f aca="false">IF(B9="","",B9)</f>
        <v>Bicycle</v>
      </c>
      <c r="I9" s="25" t="str">
        <f aca="false">IF(OR(F9="",H9&lt;&gt;"Car or van"),"",SUMIFS($F$6:F9,$H$6:H9,"Car or van"))</f>
        <v/>
      </c>
      <c r="J9" s="24" t="str">
        <f aca="false">IF(F9="","",IF(H9="Car or van",IF(O9=0,TEXT(INDEX('Notes and sources'!$C$6:$D$6,1,IF($C$3="2027/28",2,1))*100,"0")&amp;"p",IF(N9=0,TEXT(INDEX('Notes and sources'!$C$7:$D$7,1,IF($C$3="2027/28",2,1))*100,"0")&amp;"p",TEXT(INDEX('Notes and sources'!$C$6:$D$6,1,IF($C$3="2027/28",2,1))*100,"0")&amp;"p/"&amp;TEXT(INDEX('Notes and sources'!$C$7:$D$7,1,IF($C$3="2027/28",2,1))*100,"0")&amp;"p")),IF(H9="Motorcycle",TEXT(INDEX('Notes and sources'!$C$8:$D$8,1,IF($C$3="2027/28",2,1))*100,"0")&amp;"p",IF(H9="Bicycle",TEXT(INDEX('Notes and sources'!$C$9:$D$9,1,IF($C$3="2027/28",2,1))*100,"0")&amp;"p",""))))</f>
        <v>20p</v>
      </c>
      <c r="K9" s="26" t="n">
        <f aca="false">IF(F9="","",ROUND(IF(H9="Car or van",N9*INDEX('Notes and sources'!$C$6:$D$6,1,IF($C$3="2027/28",2,1))+O9*INDEX('Notes and sources'!$C$7:$D$7,1,IF($C$3="2027/28",2,1))+N(G9)*N(F9)*INDEX('Notes and sources'!$C$10:$D$10,1,IF($C$3="2027/28",2,1)),IF(H9="Motorcycle",N(F9)*INDEX('Notes and sources'!$C$8:$D$8,1,IF($C$3="2027/28",2,1)),IF(H9="Bicycle",N(F9)*INDEX('Notes and sources'!$C$9:$D$9,1,IF($C$3="2027/28",2,1)),0))),2))</f>
        <v>0.5</v>
      </c>
      <c r="L9" s="27" t="n">
        <v>0.5</v>
      </c>
      <c r="N9" s="2" t="n">
        <f aca="false">IF(I9="",0,MAX(0,MIN(N(F9),INDEX('Notes and sources'!$C$12:$D$12,1,IF($C$3="2027/28",2,1))-(I9-N(F9)))))</f>
        <v>0</v>
      </c>
      <c r="O9" s="2" t="n">
        <f aca="false">IF(I9="",0,N(F9)-N9)</f>
        <v>0</v>
      </c>
      <c r="P9" s="2" t="n">
        <f aca="false">IF(A9="","",IF(AND(MONTH(A9)=4,DAY(A9)&lt;6),13,MOD(MONTH(A9)-4,12)+1))</f>
        <v>4</v>
      </c>
      <c r="R9" s="9"/>
      <c r="S9" s="9"/>
    </row>
    <row r="10" customFormat="false" ht="15" hidden="false" customHeight="false" outlineLevel="0" collapsed="false">
      <c r="A10" s="21" t="n">
        <v>46288</v>
      </c>
      <c r="B10" s="6" t="s">
        <v>153</v>
      </c>
      <c r="C10" s="6" t="s">
        <v>154</v>
      </c>
      <c r="D10" s="6" t="s">
        <v>165</v>
      </c>
      <c r="E10" s="6" t="s">
        <v>166</v>
      </c>
      <c r="F10" s="22" t="n">
        <v>92.6</v>
      </c>
      <c r="G10" s="23" t="n">
        <v>2</v>
      </c>
      <c r="H10" s="24" t="str">
        <f aca="false">IF(B10="","",B10)</f>
        <v>Car or van</v>
      </c>
      <c r="I10" s="25" t="n">
        <f aca="false">IF(OR(F10="",H10&lt;&gt;"Car or van"),"",SUMIFS($F$6:F10,$H$6:H10,"Car or van"))</f>
        <v>194.2</v>
      </c>
      <c r="J10" s="24" t="str">
        <f aca="false">IF(F10="","",IF(H10="Car or van",IF(O10=0,TEXT(INDEX('Notes and sources'!$C$6:$D$6,1,IF($C$3="2027/28",2,1))*100,"0")&amp;"p",IF(N10=0,TEXT(INDEX('Notes and sources'!$C$7:$D$7,1,IF($C$3="2027/28",2,1))*100,"0")&amp;"p",TEXT(INDEX('Notes and sources'!$C$6:$D$6,1,IF($C$3="2027/28",2,1))*100,"0")&amp;"p/"&amp;TEXT(INDEX('Notes and sources'!$C$7:$D$7,1,IF($C$3="2027/28",2,1))*100,"0")&amp;"p")),IF(H10="Motorcycle",TEXT(INDEX('Notes and sources'!$C$8:$D$8,1,IF($C$3="2027/28",2,1))*100,"0")&amp;"p",IF(H10="Bicycle",TEXT(INDEX('Notes and sources'!$C$9:$D$9,1,IF($C$3="2027/28",2,1))*100,"0")&amp;"p",""))))</f>
        <v>55p</v>
      </c>
      <c r="K10" s="26" t="n">
        <f aca="false">IF(F10="","",ROUND(IF(H10="Car or van",N10*INDEX('Notes and sources'!$C$6:$D$6,1,IF($C$3="2027/28",2,1))+O10*INDEX('Notes and sources'!$C$7:$D$7,1,IF($C$3="2027/28",2,1))+N(G10)*N(F10)*INDEX('Notes and sources'!$C$10:$D$10,1,IF($C$3="2027/28",2,1)),IF(H10="Motorcycle",N(F10)*INDEX('Notes and sources'!$C$8:$D$8,1,IF($C$3="2027/28",2,1)),IF(H10="Bicycle",N(F10)*INDEX('Notes and sources'!$C$9:$D$9,1,IF($C$3="2027/28",2,1)),0))),2))</f>
        <v>60.19</v>
      </c>
      <c r="L10" s="27" t="n">
        <v>50</v>
      </c>
      <c r="N10" s="2" t="n">
        <f aca="false">IF(I10="",0,MAX(0,MIN(N(F10),INDEX('Notes and sources'!$C$12:$D$12,1,IF($C$3="2027/28",2,1))-(I10-N(F10)))))</f>
        <v>92.6</v>
      </c>
      <c r="O10" s="2" t="n">
        <f aca="false">IF(I10="",0,N(F10)-N10)</f>
        <v>0</v>
      </c>
      <c r="P10" s="2" t="n">
        <f aca="false">IF(A10="","",IF(AND(MONTH(A10)=4,DAY(A10)&lt;6),13,MOD(MONTH(A10)-4,12)+1))</f>
        <v>6</v>
      </c>
    </row>
    <row r="11" customFormat="false" ht="15" hidden="false" customHeight="false" outlineLevel="0" collapsed="false">
      <c r="A11" s="21" t="n">
        <v>46337</v>
      </c>
      <c r="B11" s="6" t="s">
        <v>167</v>
      </c>
      <c r="C11" s="6" t="s">
        <v>154</v>
      </c>
      <c r="D11" s="6" t="s">
        <v>168</v>
      </c>
      <c r="E11" s="6" t="s">
        <v>169</v>
      </c>
      <c r="F11" s="22" t="n">
        <v>8.3</v>
      </c>
      <c r="G11" s="23" t="n">
        <v>0</v>
      </c>
      <c r="H11" s="24" t="str">
        <f aca="false">IF(B11="","",B11)</f>
        <v>Motorcycle</v>
      </c>
      <c r="I11" s="25" t="str">
        <f aca="false">IF(OR(F11="",H11&lt;&gt;"Car or van"),"",SUMIFS($F$6:F11,$H$6:H11,"Car or van"))</f>
        <v/>
      </c>
      <c r="J11" s="24" t="str">
        <f aca="false">IF(F11="","",IF(H11="Car or van",IF(O11=0,TEXT(INDEX('Notes and sources'!$C$6:$D$6,1,IF($C$3="2027/28",2,1))*100,"0")&amp;"p",IF(N11=0,TEXT(INDEX('Notes and sources'!$C$7:$D$7,1,IF($C$3="2027/28",2,1))*100,"0")&amp;"p",TEXT(INDEX('Notes and sources'!$C$6:$D$6,1,IF($C$3="2027/28",2,1))*100,"0")&amp;"p/"&amp;TEXT(INDEX('Notes and sources'!$C$7:$D$7,1,IF($C$3="2027/28",2,1))*100,"0")&amp;"p")),IF(H11="Motorcycle",TEXT(INDEX('Notes and sources'!$C$8:$D$8,1,IF($C$3="2027/28",2,1))*100,"0")&amp;"p",IF(H11="Bicycle",TEXT(INDEX('Notes and sources'!$C$9:$D$9,1,IF($C$3="2027/28",2,1))*100,"0")&amp;"p",""))))</f>
        <v>24p</v>
      </c>
      <c r="K11" s="26" t="n">
        <f aca="false">IF(F11="","",ROUND(IF(H11="Car or van",N11*INDEX('Notes and sources'!$C$6:$D$6,1,IF($C$3="2027/28",2,1))+O11*INDEX('Notes and sources'!$C$7:$D$7,1,IF($C$3="2027/28",2,1))+N(G11)*N(F11)*INDEX('Notes and sources'!$C$10:$D$10,1,IF($C$3="2027/28",2,1)),IF(H11="Motorcycle",N(F11)*INDEX('Notes and sources'!$C$8:$D$8,1,IF($C$3="2027/28",2,1)),IF(H11="Bicycle",N(F11)*INDEX('Notes and sources'!$C$9:$D$9,1,IF($C$3="2027/28",2,1)),0))),2))</f>
        <v>1.99</v>
      </c>
      <c r="L11" s="27" t="n">
        <v>1.99</v>
      </c>
      <c r="N11" s="2" t="n">
        <f aca="false">IF(I11="",0,MAX(0,MIN(N(F11),INDEX('Notes and sources'!$C$12:$D$12,1,IF($C$3="2027/28",2,1))-(I11-N(F11)))))</f>
        <v>0</v>
      </c>
      <c r="O11" s="2" t="n">
        <f aca="false">IF(I11="",0,N(F11)-N11)</f>
        <v>0</v>
      </c>
      <c r="P11" s="2" t="n">
        <f aca="false">IF(A11="","",IF(AND(MONTH(A11)=4,DAY(A11)&lt;6),13,MOD(MONTH(A11)-4,12)+1))</f>
        <v>8</v>
      </c>
      <c r="R11" s="14" t="s">
        <v>69</v>
      </c>
    </row>
    <row r="12" customFormat="false" ht="15" hidden="false" customHeight="true" outlineLevel="0" collapsed="false">
      <c r="E12" s="14" t="s">
        <v>80</v>
      </c>
      <c r="F12" s="29" t="n">
        <f aca="false">SUM(F6:F11)</f>
        <v>205</v>
      </c>
      <c r="K12" s="30" t="n">
        <f aca="false">SUM(K6:K11)</f>
        <v>120.92</v>
      </c>
      <c r="L12" s="30" t="n">
        <f aca="false">SUM(L6:L11)</f>
        <v>110.73</v>
      </c>
      <c r="R12" s="9" t="s">
        <v>70</v>
      </c>
      <c r="S12" s="9"/>
    </row>
    <row r="13" customFormat="false" ht="15" hidden="false" customHeight="false" outlineLevel="0" collapsed="false">
      <c r="R13" s="9"/>
      <c r="S13" s="9"/>
    </row>
    <row r="14" customFormat="false" ht="15" hidden="false" customHeight="false" outlineLevel="0" collapsed="false">
      <c r="R14" s="9"/>
      <c r="S14" s="9"/>
    </row>
    <row r="15" customFormat="false" ht="15" hidden="false" customHeight="false" outlineLevel="0" collapsed="false">
      <c r="R15" s="28" t="s">
        <v>71</v>
      </c>
    </row>
    <row r="17" customFormat="false" ht="15" hidden="false" customHeight="false" outlineLevel="0" collapsed="false">
      <c r="R17" s="14" t="s">
        <v>72</v>
      </c>
    </row>
    <row r="18" customFormat="false" ht="15" hidden="false" customHeight="true" outlineLevel="0" collapsed="false">
      <c r="R18" s="9" t="s">
        <v>73</v>
      </c>
      <c r="S18" s="9"/>
    </row>
    <row r="19" customFormat="false" ht="15" hidden="false" customHeight="false" outlineLevel="0" collapsed="false">
      <c r="R19" s="9"/>
      <c r="S19" s="9"/>
    </row>
    <row r="20" customFormat="false" ht="15" hidden="false" customHeight="false" outlineLevel="0" collapsed="false">
      <c r="R20" s="9"/>
      <c r="S20" s="9"/>
    </row>
    <row r="22" customFormat="false" ht="15" hidden="false" customHeight="false" outlineLevel="0" collapsed="false">
      <c r="R22" s="14" t="s">
        <v>74</v>
      </c>
    </row>
    <row r="23" customFormat="false" ht="15" hidden="false" customHeight="true" outlineLevel="0" collapsed="false">
      <c r="R23" s="9" t="s">
        <v>75</v>
      </c>
      <c r="S23" s="9"/>
    </row>
    <row r="24" customFormat="false" ht="15" hidden="false" customHeight="false" outlineLevel="0" collapsed="false">
      <c r="R24" s="9"/>
      <c r="S24" s="9"/>
    </row>
    <row r="25" customFormat="false" ht="15" hidden="false" customHeight="false" outlineLevel="0" collapsed="false">
      <c r="R25" s="9"/>
      <c r="S25" s="9"/>
    </row>
    <row r="26" customFormat="false" ht="15" hidden="false" customHeight="false" outlineLevel="0" collapsed="false">
      <c r="R26" s="28" t="s">
        <v>76</v>
      </c>
    </row>
    <row r="28" customFormat="false" ht="15" hidden="false" customHeight="false" outlineLevel="0" collapsed="false">
      <c r="R28" s="14" t="s">
        <v>77</v>
      </c>
    </row>
    <row r="29" customFormat="false" ht="15" hidden="false" customHeight="true" outlineLevel="0" collapsed="false">
      <c r="R29" s="9" t="s">
        <v>78</v>
      </c>
      <c r="S29" s="9"/>
    </row>
    <row r="30" customFormat="false" ht="15" hidden="false" customHeight="false" outlineLevel="0" collapsed="false">
      <c r="R30" s="9"/>
      <c r="S30" s="9"/>
    </row>
    <row r="31" customFormat="false" ht="15" hidden="false" customHeight="false" outlineLevel="0" collapsed="false">
      <c r="R31" s="9"/>
      <c r="S31" s="9"/>
    </row>
    <row r="32" customFormat="false" ht="15" hidden="false" customHeight="false" outlineLevel="0" collapsed="false">
      <c r="R32" s="28" t="s">
        <v>79</v>
      </c>
    </row>
  </sheetData>
  <sheetProtection sheet="true" formatCells="false" formatColumns="false" formatRows="false" sort="false" autoFilter="false"/>
  <mergeCells count="5">
    <mergeCell ref="R7:S9"/>
    <mergeCell ref="R12:S14"/>
    <mergeCell ref="R18:S20"/>
    <mergeCell ref="R23:S25"/>
    <mergeCell ref="R29:S31"/>
  </mergeCells>
  <conditionalFormatting sqref="H6:H11">
    <cfRule type="expression" priority="2" aboveAverage="0" equalAverage="0" bottom="0" percent="0" rank="0" text="" dxfId="1">
      <formula>H6="Check vehicle"</formula>
    </cfRule>
  </conditionalFormatting>
  <dataValidations count="4">
    <dataValidation allowBlank="true" errorStyle="stop" operator="greaterThanOrEqual" showDropDown="false" showErrorMessage="false" showInputMessage="false" sqref="F6:G11 L6:L11" type="decimal">
      <formula1>0</formula1>
      <formula2>0</formula2>
    </dataValidation>
    <dataValidation allowBlank="false" errorStyle="stop" operator="between" showDropDown="false" showErrorMessage="false" showInputMessage="false" sqref="C3" type="list">
      <formula1>"2026/27,2027/28"</formula1>
      <formula2>0</formula2>
    </dataValidation>
    <dataValidation allowBlank="true" error="Enter a date within the tax year you chose on &quot;Start here&quot;." errorStyle="stop" errorTitle="Date outside the tax year" operator="between" showDropDown="false" showErrorMessage="false" showInputMessage="false" sqref="A6:A11" type="date">
      <formula1>DATE(VALUE(LEFT($C$3,4)),4,6)</formula1>
      <formula2>EDATE(DATE(VALUE(LEFT($C$3,4)),4,6),12)-1</formula2>
    </dataValidation>
    <dataValidation allowBlank="true" errorStyle="stop" operator="between" showDropDown="false" showErrorMessage="false" showInputMessage="false" sqref="B6:B11" type="list">
      <formula1>"Car or van,Motorcycle,Bicycle"</formula1>
      <formula2>0</formula2>
    </dataValidation>
  </dataValidations>
  <hyperlinks>
    <hyperlink ref="R15" r:id="rId1" display="HMRC 490: employee travel guide"/>
    <hyperlink ref="R26" r:id="rId2" display="GOV.UK: claim tax relief for vehicles you use for work"/>
    <hyperlink ref="R32" r:id="rId3" display="GOV.UK: business travel mileage rul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&amp;CJackson Lee Accountants · jacksonleeaccountants.co.uk · 0161 327 0047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3C133C4E0AD648995B43C69FDCC055" ma:contentTypeVersion="16" ma:contentTypeDescription="Create a new document." ma:contentTypeScope="" ma:versionID="d6f4d5ac8e31203f29785cc4bdc2ed8f">
  <xsd:schema xmlns:xsd="http://www.w3.org/2001/XMLSchema" xmlns:xs="http://www.w3.org/2001/XMLSchema" xmlns:p="http://schemas.microsoft.com/office/2006/metadata/properties" xmlns:ns2="f27e0f73-e662-410b-839d-5b95ffa792d9" xmlns:ns3="0e122cf4-dd28-4a5c-9dc7-1a3b4f1ec236" targetNamespace="http://schemas.microsoft.com/office/2006/metadata/properties" ma:root="true" ma:fieldsID="69905c89757b71a61daa5bca9fcf2190" ns2:_="" ns3:_="">
    <xsd:import namespace="f27e0f73-e662-410b-839d-5b95ffa792d9"/>
    <xsd:import namespace="0e122cf4-dd28-4a5c-9dc7-1a3b4f1ec2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e0f73-e662-410b-839d-5b95ffa792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3a28362-74b5-4339-a678-d5e422a819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122cf4-dd28-4a5c-9dc7-1a3b4f1ec23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7c3f8b6-6c04-4a7c-9b00-99f5fc57e924}" ma:internalName="TaxCatchAll" ma:showField="CatchAllData" ma:web="0e122cf4-dd28-4a5c-9dc7-1a3b4f1ec2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7e0f73-e662-410b-839d-5b95ffa792d9">
      <Terms xmlns="http://schemas.microsoft.com/office/infopath/2007/PartnerControls"/>
    </lcf76f155ced4ddcb4097134ff3c332f>
    <TaxCatchAll xmlns="0e122cf4-dd28-4a5c-9dc7-1a3b4f1ec236" xsi:nil="true"/>
  </documentManagement>
</p:properties>
</file>

<file path=customXml/itemProps1.xml><?xml version="1.0" encoding="utf-8"?>
<ds:datastoreItem xmlns:ds="http://schemas.openxmlformats.org/officeDocument/2006/customXml" ds:itemID="{C7905CBA-2D95-4BEC-84CA-913C59358A8A}"/>
</file>

<file path=customXml/itemProps2.xml><?xml version="1.0" encoding="utf-8"?>
<ds:datastoreItem xmlns:ds="http://schemas.openxmlformats.org/officeDocument/2006/customXml" ds:itemID="{CE38F9AC-1BF9-4CF1-A337-F5DF7C9F89CE}"/>
</file>

<file path=customXml/itemProps3.xml><?xml version="1.0" encoding="utf-8"?>
<ds:datastoreItem xmlns:ds="http://schemas.openxmlformats.org/officeDocument/2006/customXml" ds:itemID="{4A0C89CA-030E-479A-A6DC-22E53E238A08}"/>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2026-11-05T13:22:22Z</dcterms:created>
  <dcterms:modified xsi:type="dcterms:W3CDTF">2026-11-05T13:22:23Z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0x010100063C133C4E0AD648995B43C69FDCC055</vt:lpwstr>
  </property>
</Properties>
</file>